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urka\Desktop\DOSYALARIM\Az kullandıklarım\Hisse ve Şirket değerleme\2023-2024 OCAK\DONE\"/>
    </mc:Choice>
  </mc:AlternateContent>
  <xr:revisionPtr revIDLastSave="0" documentId="13_ncr:1_{1C1FD48B-A5D2-4FD3-A65F-DB801B4F58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CF" sheetId="1" r:id="rId1"/>
    <sheet name="WACC" sheetId="2" r:id="rId2"/>
    <sheet name="RATİO" sheetId="3" r:id="rId3"/>
    <sheet name="INFO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3" l="1"/>
  <c r="B25" i="1"/>
  <c r="B27" i="1" s="1"/>
  <c r="B29" i="1" s="1"/>
  <c r="B22" i="1"/>
  <c r="L24" i="3"/>
  <c r="L23" i="3"/>
  <c r="J19" i="3"/>
  <c r="K19" i="3"/>
  <c r="L19" i="3"/>
  <c r="I19" i="3"/>
  <c r="J16" i="3"/>
  <c r="K16" i="3"/>
  <c r="L16" i="3"/>
  <c r="I16" i="3"/>
  <c r="J15" i="3"/>
  <c r="K15" i="3"/>
  <c r="L15" i="3"/>
  <c r="I15" i="3"/>
  <c r="L3" i="3"/>
  <c r="L4" i="3"/>
  <c r="L5" i="3"/>
  <c r="L6" i="3"/>
  <c r="L7" i="3"/>
  <c r="L8" i="3"/>
  <c r="L2" i="3"/>
  <c r="K3" i="3"/>
  <c r="K4" i="3"/>
  <c r="K5" i="3"/>
  <c r="K6" i="3"/>
  <c r="K7" i="3"/>
  <c r="K8" i="3"/>
  <c r="K2" i="3"/>
  <c r="J3" i="3"/>
  <c r="J4" i="3"/>
  <c r="J5" i="3"/>
  <c r="J6" i="3"/>
  <c r="J7" i="3"/>
  <c r="J8" i="3"/>
  <c r="J2" i="3"/>
  <c r="I3" i="3"/>
  <c r="I4" i="3"/>
  <c r="I5" i="3"/>
  <c r="I6" i="3"/>
  <c r="I7" i="3"/>
  <c r="I8" i="3"/>
  <c r="I2" i="3"/>
  <c r="D8" i="3"/>
  <c r="D7" i="3"/>
  <c r="D6" i="3"/>
  <c r="D5" i="3"/>
  <c r="D4" i="3"/>
  <c r="D3" i="3"/>
  <c r="D2" i="3"/>
  <c r="B10" i="2"/>
  <c r="B11" i="2"/>
  <c r="L21" i="1"/>
  <c r="M21" i="1"/>
  <c r="N21" i="1"/>
  <c r="O21" i="1"/>
  <c r="K21" i="1"/>
  <c r="P21" i="1"/>
  <c r="K28" i="1"/>
  <c r="K27" i="1"/>
  <c r="G15" i="1"/>
  <c r="F15" i="1"/>
  <c r="E15" i="1"/>
  <c r="D15" i="1"/>
  <c r="C15" i="1"/>
  <c r="B15" i="1"/>
  <c r="L9" i="1"/>
  <c r="M9" i="1"/>
  <c r="N9" i="1"/>
  <c r="O9" i="1"/>
  <c r="K9" i="1"/>
  <c r="J10" i="1"/>
  <c r="D10" i="1"/>
  <c r="E10" i="1"/>
  <c r="F10" i="1"/>
  <c r="G10" i="1"/>
  <c r="H10" i="1"/>
  <c r="I10" i="1"/>
  <c r="B10" i="1"/>
  <c r="K8" i="1"/>
  <c r="L8" i="1"/>
  <c r="M8" i="1"/>
  <c r="N8" i="1"/>
  <c r="O8" i="1"/>
  <c r="C8" i="1"/>
  <c r="D8" i="1"/>
  <c r="E8" i="1"/>
  <c r="F8" i="1"/>
  <c r="G8" i="1"/>
  <c r="H8" i="1"/>
  <c r="I8" i="1"/>
  <c r="B8" i="1"/>
  <c r="M6" i="1"/>
  <c r="N6" i="1" s="1"/>
  <c r="O6" i="1" s="1"/>
  <c r="L6" i="1"/>
  <c r="M2" i="1"/>
  <c r="N2" i="1" s="1"/>
  <c r="O2" i="1" s="1"/>
  <c r="L2" i="1"/>
  <c r="K6" i="1"/>
  <c r="K2" i="1"/>
  <c r="J7" i="1"/>
  <c r="C7" i="1"/>
  <c r="D7" i="1"/>
  <c r="E7" i="1"/>
  <c r="F7" i="1"/>
  <c r="G7" i="1"/>
  <c r="H7" i="1"/>
  <c r="I7" i="1"/>
  <c r="C6" i="1"/>
  <c r="D6" i="1"/>
  <c r="E6" i="1"/>
  <c r="F6" i="1"/>
  <c r="G6" i="1"/>
  <c r="H6" i="1"/>
  <c r="I6" i="1"/>
  <c r="B6" i="1"/>
  <c r="D3" i="1"/>
  <c r="J3" i="1" s="1"/>
  <c r="E3" i="1"/>
  <c r="F3" i="1"/>
  <c r="G3" i="1"/>
  <c r="H3" i="1"/>
  <c r="I3" i="1"/>
  <c r="C3" i="1"/>
</calcChain>
</file>

<file path=xl/sharedStrings.xml><?xml version="1.0" encoding="utf-8"?>
<sst xmlns="http://schemas.openxmlformats.org/spreadsheetml/2006/main" count="61" uniqueCount="59">
  <si>
    <t>ALLİSON TRANSMİSSİON</t>
  </si>
  <si>
    <t>REVENUE</t>
  </si>
  <si>
    <t xml:space="preserve">Average </t>
  </si>
  <si>
    <t>COGS</t>
  </si>
  <si>
    <t>TOTAL OPERATİNG EXPENSES</t>
  </si>
  <si>
    <t>EBIT</t>
  </si>
  <si>
    <t>INCOME TAX</t>
  </si>
  <si>
    <t>TAX RATE</t>
  </si>
  <si>
    <t>DEPRECİATİON&amp;AMORTİZATİON</t>
  </si>
  <si>
    <t>(NET CAPİTAL EXPENDİTURE)</t>
  </si>
  <si>
    <t>(CHANGE IN WORKING CAPITAL)</t>
  </si>
  <si>
    <t>FCF</t>
  </si>
  <si>
    <t>EV/EBİTDA</t>
  </si>
  <si>
    <t>EV/EBİTDA multiple</t>
  </si>
  <si>
    <t>TERMİNAL VALUE</t>
  </si>
  <si>
    <t>FCF=EBIT*(1-TAX RATE)+DEPRECİATİON&amp;AMORTİZATİON-NET CAPEX-INCREASE IN WORKING CAPITAL</t>
  </si>
  <si>
    <t>NPV OF FCF (ENTERPRİSE VALUE)</t>
  </si>
  <si>
    <t>CASH AND CASH EQUİVALENTS</t>
  </si>
  <si>
    <t>(DEBT)</t>
  </si>
  <si>
    <t>EQUİTY VALUE</t>
  </si>
  <si>
    <t>SHARES OUTSTANDING</t>
  </si>
  <si>
    <t>FAIR VALUE OF THE COMPANY</t>
  </si>
  <si>
    <t>COST OF EQUITY</t>
  </si>
  <si>
    <t>EQUITY RISK PREMIUM</t>
  </si>
  <si>
    <t>(X)BETA</t>
  </si>
  <si>
    <t>(+)RISK FREE RATE</t>
  </si>
  <si>
    <t>COST OF DEBT</t>
  </si>
  <si>
    <t>WACC</t>
  </si>
  <si>
    <t>PERCENT OF EQUITY</t>
  </si>
  <si>
    <t>PERCENT OF DEBT</t>
  </si>
  <si>
    <t>AVERAGE YIELD ON DEBT</t>
  </si>
  <si>
    <t>(X)TAX SHIELD</t>
  </si>
  <si>
    <t>FOR USA</t>
  </si>
  <si>
    <t>8.47%</t>
  </si>
  <si>
    <t>2.95%</t>
  </si>
  <si>
    <t>MARKET PRICE 8TH OF FEBRUARY</t>
  </si>
  <si>
    <t>Growth Forecast</t>
  </si>
  <si>
    <t xml:space="preserve">2.32000	</t>
  </si>
  <si>
    <t>COMPANY</t>
  </si>
  <si>
    <t>PRICE</t>
  </si>
  <si>
    <t>AVERAGE</t>
  </si>
  <si>
    <t>DIFFERENCE</t>
  </si>
  <si>
    <t>EV</t>
  </si>
  <si>
    <t>SALES</t>
  </si>
  <si>
    <t>EBITDA</t>
  </si>
  <si>
    <t>EARNINGS</t>
  </si>
  <si>
    <t>EV/SALES</t>
  </si>
  <si>
    <t>EV/EBITDA</t>
  </si>
  <si>
    <t>EV/EBIT</t>
  </si>
  <si>
    <t>P/E</t>
  </si>
  <si>
    <t>Illinois  tool work</t>
  </si>
  <si>
    <t>Autoliv</t>
  </si>
  <si>
    <t>Gentex</t>
  </si>
  <si>
    <t>Lear Corporation</t>
  </si>
  <si>
    <t>Visteon Corporation</t>
  </si>
  <si>
    <t>Adient plc</t>
  </si>
  <si>
    <t>Market Cap</t>
  </si>
  <si>
    <t>Allison transmissions</t>
  </si>
  <si>
    <t>Operating Expanses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</si>
</sst>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₺&quot;* #,##0.00_-;\-&quot;₺&quot;* #,##0.00_-;_-&quot;₺&quot;* &quot;-&quot;??_-;_-@_-"/>
    <numFmt numFmtId="164" formatCode="_-[$$-409]* #,##0.00_ ;_-[$$-409]* \-#,##0.00\ ;_-[$$-409]* &quot;-&quot;??_ ;_-@_ "/>
    <numFmt numFmtId="165" formatCode="&quot;₺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rgb="FF232A31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3" fillId="0" borderId="0" xfId="0" applyNumberFormat="1" applyFont="1"/>
    <xf numFmtId="9" fontId="0" fillId="0" borderId="0" xfId="1" applyFont="1"/>
    <xf numFmtId="0" fontId="0" fillId="0" borderId="0" xfId="0" applyAlignment="1">
      <alignment horizontal="center" wrapText="1"/>
    </xf>
    <xf numFmtId="9" fontId="4" fillId="0" borderId="0" xfId="0" applyNumberFormat="1" applyFont="1"/>
    <xf numFmtId="164" fontId="0" fillId="0" borderId="0" xfId="1" applyNumberFormat="1" applyFont="1"/>
    <xf numFmtId="164" fontId="4" fillId="0" borderId="0" xfId="0" applyNumberFormat="1" applyFont="1"/>
    <xf numFmtId="9" fontId="6" fillId="0" borderId="0" xfId="1" applyFont="1"/>
    <xf numFmtId="9" fontId="0" fillId="0" borderId="0" xfId="0" applyNumberFormat="1"/>
    <xf numFmtId="9" fontId="4" fillId="0" borderId="0" xfId="1" applyFont="1"/>
    <xf numFmtId="2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5" fillId="0" borderId="0" xfId="0" applyFont="1"/>
    <xf numFmtId="0" fontId="0" fillId="0" borderId="0" xfId="0" applyAlignment="1">
      <alignment horizontal="center"/>
    </xf>
    <xf numFmtId="2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/>
    <xf numFmtId="10" fontId="0" fillId="0" borderId="0" xfId="1" applyNumberFormat="1" applyFont="1"/>
    <xf numFmtId="0" fontId="0" fillId="0" borderId="0" xfId="1" applyNumberFormat="1" applyFont="1"/>
    <xf numFmtId="0" fontId="1" fillId="0" borderId="0" xfId="0" applyFont="1"/>
    <xf numFmtId="164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1" applyNumberFormat="1" applyFont="1"/>
    <xf numFmtId="0" fontId="0" fillId="3" borderId="0" xfId="0" applyFill="1"/>
    <xf numFmtId="164" fontId="0" fillId="0" borderId="0" xfId="2" applyNumberFormat="1" applyFont="1"/>
    <xf numFmtId="164" fontId="0" fillId="3" borderId="0" xfId="0" applyNumberFormat="1" applyFill="1"/>
    <xf numFmtId="164" fontId="7" fillId="0" borderId="0" xfId="0" applyNumberFormat="1" applyFon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9525</xdr:rowOff>
    </xdr:from>
    <xdr:to>
      <xdr:col>29</xdr:col>
      <xdr:colOff>28575</xdr:colOff>
      <xdr:row>36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341F65-C126-7C24-84B5-93B049CD85C3}"/>
            </a:ext>
          </a:extLst>
        </xdr:cNvPr>
        <xdr:cNvSpPr txBox="1"/>
      </xdr:nvSpPr>
      <xdr:spPr>
        <a:xfrm>
          <a:off x="152400" y="200025"/>
          <a:ext cx="17554575" cy="683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2400">
              <a:solidFill>
                <a:sysClr val="windowText" lastClr="000000"/>
              </a:solidFill>
            </a:rPr>
            <a:t>Providing</a:t>
          </a:r>
          <a:r>
            <a:rPr lang="tr-TR" sz="2400" baseline="0">
              <a:solidFill>
                <a:sysClr val="windowText" lastClr="000000"/>
              </a:solidFill>
            </a:rPr>
            <a:t> transmissions for mostly military sector</a:t>
          </a:r>
        </a:p>
        <a:p>
          <a:r>
            <a:rPr lang="tr-TR" sz="2400" baseline="0">
              <a:solidFill>
                <a:sysClr val="windowText" lastClr="000000"/>
              </a:solidFill>
            </a:rPr>
            <a:t>old company widely known</a:t>
          </a:r>
        </a:p>
        <a:p>
          <a:r>
            <a:rPr lang="tr-TR" sz="2400" baseline="0">
              <a:solidFill>
                <a:sysClr val="windowText" lastClr="000000"/>
              </a:solidFill>
            </a:rPr>
            <a:t>good debt ratio's and very good earning ratios</a:t>
          </a:r>
        </a:p>
        <a:p>
          <a:endParaRPr lang="tr-TR" sz="2400" baseline="0">
            <a:solidFill>
              <a:sysClr val="windowText" lastClr="000000"/>
            </a:solidFill>
          </a:endParaRPr>
        </a:p>
        <a:p>
          <a:r>
            <a:rPr lang="tr-TR" sz="2400" baseline="0">
              <a:solidFill>
                <a:sysClr val="windowText" lastClr="000000"/>
              </a:solidFill>
            </a:rPr>
            <a:t>dcf model fair valuation: 07.03.2024:125.65</a:t>
          </a:r>
        </a:p>
        <a:p>
          <a:r>
            <a:rPr lang="tr-TR" sz="2400" baseline="0">
              <a:solidFill>
                <a:sysClr val="windowText" lastClr="000000"/>
              </a:solidFill>
            </a:rPr>
            <a:t>Similar companies analysis valuation 07.03.2024: 67.17</a:t>
          </a:r>
        </a:p>
        <a:p>
          <a:r>
            <a:rPr lang="tr-TR" sz="2400" baseline="0">
              <a:solidFill>
                <a:sysClr val="windowText" lastClr="000000"/>
              </a:solidFill>
            </a:rPr>
            <a:t>Allison T. is a company that already grown and it is close to it's last period of company/product time, so we should weighten similar companies analysis more around %60, according to that our final valuation has became:90.56, we found the stock when it was at 60$ but it raised up to 75 dollars before our valuation, it was not a good oportunity to buy it now.</a:t>
          </a:r>
        </a:p>
        <a:p>
          <a:endParaRPr lang="tr-TR" sz="2400" baseline="0">
            <a:solidFill>
              <a:sysClr val="windowText" lastClr="000000"/>
            </a:solidFill>
          </a:endParaRPr>
        </a:p>
        <a:p>
          <a:r>
            <a:rPr lang="tr-TR" sz="2400" baseline="0">
              <a:solidFill>
                <a:sysClr val="windowText" lastClr="000000"/>
              </a:solidFill>
            </a:rPr>
            <a:t>Good growth rates but not sustainable, according to similar company analysis it does not have too much potential today's price, it was worth buying a month before</a:t>
          </a:r>
          <a:endParaRPr lang="en-US" sz="24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workbookViewId="0">
      <selection activeCell="A6" sqref="A6"/>
    </sheetView>
  </sheetViews>
  <sheetFormatPr defaultColWidth="15.7109375" defaultRowHeight="15" x14ac:dyDescent="0.25"/>
  <cols>
    <col min="1" max="1" width="30.7109375" customWidth="1"/>
    <col min="11" max="11" width="21.42578125" bestFit="1" customWidth="1"/>
  </cols>
  <sheetData>
    <row r="1" spans="1:15" x14ac:dyDescent="0.25">
      <c r="A1" s="1" t="s">
        <v>0</v>
      </c>
      <c r="B1" s="1">
        <v>2016</v>
      </c>
      <c r="C1" s="1">
        <v>2017</v>
      </c>
      <c r="D1">
        <v>2018</v>
      </c>
      <c r="E1" s="1">
        <v>2019</v>
      </c>
      <c r="F1" s="1">
        <v>2020</v>
      </c>
      <c r="G1" s="1">
        <v>2021</v>
      </c>
      <c r="H1" s="1">
        <v>2022</v>
      </c>
      <c r="I1" s="1">
        <v>2023</v>
      </c>
      <c r="J1" s="5" t="s">
        <v>2</v>
      </c>
      <c r="K1" s="1">
        <v>2024</v>
      </c>
      <c r="L1" s="1">
        <v>2025</v>
      </c>
      <c r="M1" s="1">
        <v>2026</v>
      </c>
      <c r="N1" s="1">
        <v>2027</v>
      </c>
      <c r="O1" s="1">
        <v>2028</v>
      </c>
    </row>
    <row r="2" spans="1:15" x14ac:dyDescent="0.25">
      <c r="A2" t="s">
        <v>1</v>
      </c>
      <c r="B2" s="2">
        <v>1840000</v>
      </c>
      <c r="C2" s="2">
        <v>2260000</v>
      </c>
      <c r="D2" s="2">
        <v>2710000</v>
      </c>
      <c r="E2" s="2">
        <v>2700000</v>
      </c>
      <c r="F2" s="3">
        <v>2081000</v>
      </c>
      <c r="G2" s="3">
        <v>2402000</v>
      </c>
      <c r="H2" s="3">
        <v>2769000</v>
      </c>
      <c r="I2" s="3">
        <v>2978000</v>
      </c>
      <c r="K2" s="2">
        <f>I2+I2*J3</f>
        <v>3223449.8380017052</v>
      </c>
      <c r="L2" s="2">
        <f>K2+K2*$J$3</f>
        <v>3489129.9053435931</v>
      </c>
      <c r="M2" s="2">
        <f t="shared" ref="M2:O2" si="0">L2+L2*$J$3</f>
        <v>3776707.5984374448</v>
      </c>
      <c r="N2" s="2">
        <f t="shared" si="0"/>
        <v>4087987.7422306887</v>
      </c>
      <c r="O2" s="2">
        <f t="shared" si="0"/>
        <v>4424923.9172083512</v>
      </c>
    </row>
    <row r="3" spans="1:15" x14ac:dyDescent="0.25">
      <c r="B3" s="4"/>
      <c r="C3" s="9">
        <f>C2/B2-1</f>
        <v>0.22826086956521729</v>
      </c>
      <c r="D3" s="9">
        <f t="shared" ref="D3:I3" si="1">D2/C2-1</f>
        <v>0.19911504424778759</v>
      </c>
      <c r="E3" s="9">
        <f t="shared" si="1"/>
        <v>-3.6900369003689537E-3</v>
      </c>
      <c r="F3" s="9">
        <f t="shared" si="1"/>
        <v>-0.22925925925925927</v>
      </c>
      <c r="G3" s="9">
        <f t="shared" si="1"/>
        <v>0.15425276309466596</v>
      </c>
      <c r="H3" s="9">
        <f t="shared" si="1"/>
        <v>0.15278934221482099</v>
      </c>
      <c r="I3" s="9">
        <f t="shared" si="1"/>
        <v>7.5478512098230421E-2</v>
      </c>
      <c r="J3" s="6">
        <f>AVERAGE(C3:I3)</f>
        <v>8.2421033580156289E-2</v>
      </c>
      <c r="K3" s="2"/>
    </row>
    <row r="4" spans="1:15" x14ac:dyDescent="0.25">
      <c r="A4" t="s">
        <v>3</v>
      </c>
      <c r="B4" s="2">
        <v>1070000</v>
      </c>
      <c r="C4" s="2">
        <v>1220000</v>
      </c>
      <c r="D4" s="2">
        <v>1380000</v>
      </c>
      <c r="E4" s="2">
        <v>1390000</v>
      </c>
      <c r="F4" s="2">
        <v>1140000</v>
      </c>
      <c r="G4" s="2">
        <v>1300000</v>
      </c>
      <c r="H4" s="2">
        <v>1520000</v>
      </c>
      <c r="I4" s="2">
        <v>1590000</v>
      </c>
      <c r="K4" s="2"/>
    </row>
    <row r="5" spans="1:15" x14ac:dyDescent="0.25">
      <c r="A5" t="s">
        <v>58</v>
      </c>
      <c r="B5" s="2">
        <v>320000</v>
      </c>
      <c r="C5" s="7">
        <v>357000</v>
      </c>
      <c r="D5" s="7">
        <v>408000</v>
      </c>
      <c r="E5" s="7">
        <v>414000</v>
      </c>
      <c r="F5" s="7">
        <v>412000</v>
      </c>
      <c r="G5" s="7">
        <v>430000</v>
      </c>
      <c r="H5" s="7">
        <v>465000</v>
      </c>
      <c r="I5" s="7">
        <v>465000</v>
      </c>
      <c r="J5" s="8"/>
    </row>
    <row r="6" spans="1:15" x14ac:dyDescent="0.25">
      <c r="A6" t="s">
        <v>4</v>
      </c>
      <c r="B6" s="2">
        <f>B4+B5</f>
        <v>1390000</v>
      </c>
      <c r="C6" s="2">
        <f t="shared" ref="C6:I6" si="2">C4+C5</f>
        <v>1577000</v>
      </c>
      <c r="D6" s="2">
        <f t="shared" si="2"/>
        <v>1788000</v>
      </c>
      <c r="E6" s="2">
        <f t="shared" si="2"/>
        <v>1804000</v>
      </c>
      <c r="F6" s="2">
        <f t="shared" si="2"/>
        <v>1552000</v>
      </c>
      <c r="G6" s="2">
        <f t="shared" si="2"/>
        <v>1730000</v>
      </c>
      <c r="H6" s="2">
        <f t="shared" si="2"/>
        <v>1985000</v>
      </c>
      <c r="I6" s="2">
        <f t="shared" si="2"/>
        <v>2055000</v>
      </c>
      <c r="K6" s="2">
        <f>I6+I6*J7</f>
        <v>2182687.0556153087</v>
      </c>
      <c r="L6" s="2">
        <f>K6+K6*$J$7</f>
        <v>2318307.9234796232</v>
      </c>
      <c r="M6" s="2">
        <f t="shared" ref="M6:O6" si="3">L6+L6*$J$7</f>
        <v>2462355.5695909383</v>
      </c>
      <c r="N6" s="2">
        <f t="shared" si="3"/>
        <v>2615353.5903009251</v>
      </c>
      <c r="O6" s="2">
        <f t="shared" si="3"/>
        <v>2777858.1155264485</v>
      </c>
    </row>
    <row r="7" spans="1:15" x14ac:dyDescent="0.25">
      <c r="C7" s="9">
        <f>C6/B6-1</f>
        <v>0.13453237410071939</v>
      </c>
      <c r="D7" s="9">
        <f t="shared" ref="D7:I7" si="4">D6/C6-1</f>
        <v>0.13379835129993656</v>
      </c>
      <c r="E7" s="9">
        <f t="shared" si="4"/>
        <v>8.9485458612974522E-3</v>
      </c>
      <c r="F7" s="9">
        <f t="shared" si="4"/>
        <v>-0.13968957871396892</v>
      </c>
      <c r="G7" s="9">
        <f t="shared" si="4"/>
        <v>0.11469072164948457</v>
      </c>
      <c r="H7" s="9">
        <f t="shared" si="4"/>
        <v>0.14739884393063574</v>
      </c>
      <c r="I7" s="9">
        <f t="shared" si="4"/>
        <v>3.5264483627204024E-2</v>
      </c>
      <c r="J7" s="6">
        <f>AVERAGE(C7:I7)</f>
        <v>6.21348202507584E-2</v>
      </c>
    </row>
    <row r="8" spans="1:15" x14ac:dyDescent="0.25">
      <c r="A8" t="s">
        <v>5</v>
      </c>
      <c r="B8" s="2">
        <f>B2-B6</f>
        <v>450000</v>
      </c>
      <c r="C8" s="2">
        <f t="shared" ref="C8:O8" si="5">C2-C6</f>
        <v>683000</v>
      </c>
      <c r="D8" s="2">
        <f t="shared" si="5"/>
        <v>922000</v>
      </c>
      <c r="E8" s="2">
        <f t="shared" si="5"/>
        <v>896000</v>
      </c>
      <c r="F8" s="2">
        <f t="shared" si="5"/>
        <v>529000</v>
      </c>
      <c r="G8" s="2">
        <f t="shared" si="5"/>
        <v>672000</v>
      </c>
      <c r="H8" s="2">
        <f t="shared" si="5"/>
        <v>784000</v>
      </c>
      <c r="I8" s="2">
        <f t="shared" si="5"/>
        <v>923000</v>
      </c>
      <c r="J8" s="2"/>
      <c r="K8" s="2">
        <f>K2-K6</f>
        <v>1040762.7823863965</v>
      </c>
      <c r="L8" s="2">
        <f t="shared" si="5"/>
        <v>1170821.9818639699</v>
      </c>
      <c r="M8" s="2">
        <f t="shared" si="5"/>
        <v>1314352.0288465065</v>
      </c>
      <c r="N8" s="2">
        <f t="shared" si="5"/>
        <v>1472634.1519297636</v>
      </c>
      <c r="O8" s="2">
        <f t="shared" si="5"/>
        <v>1647065.8016819027</v>
      </c>
    </row>
    <row r="9" spans="1:15" x14ac:dyDescent="0.25">
      <c r="A9" t="s">
        <v>6</v>
      </c>
      <c r="B9" s="2">
        <v>126000</v>
      </c>
      <c r="C9" s="2">
        <v>23000</v>
      </c>
      <c r="D9" s="2">
        <v>166000</v>
      </c>
      <c r="E9" s="2">
        <v>164000</v>
      </c>
      <c r="F9" s="2">
        <v>94000</v>
      </c>
      <c r="G9" s="2">
        <v>130000</v>
      </c>
      <c r="H9" s="2">
        <v>114000</v>
      </c>
      <c r="I9" s="2">
        <v>146000</v>
      </c>
      <c r="K9" s="2">
        <f>K8*$J$10</f>
        <v>195932.99820398333</v>
      </c>
      <c r="L9" s="2">
        <f t="shared" ref="L9:O9" si="6">L8*$J$10</f>
        <v>220417.8177314653</v>
      </c>
      <c r="M9" s="2">
        <f t="shared" si="6"/>
        <v>247438.64602546382</v>
      </c>
      <c r="N9" s="2">
        <f t="shared" si="6"/>
        <v>277236.68594641925</v>
      </c>
      <c r="O9" s="2">
        <f t="shared" si="6"/>
        <v>310075.02019126841</v>
      </c>
    </row>
    <row r="10" spans="1:15" x14ac:dyDescent="0.25">
      <c r="A10" t="s">
        <v>7</v>
      </c>
      <c r="B10" s="9">
        <f>B9/B8</f>
        <v>0.28000000000000003</v>
      </c>
      <c r="C10" s="9"/>
      <c r="D10" s="9">
        <f t="shared" ref="D10:I10" si="7">D9/D8</f>
        <v>0.18004338394793926</v>
      </c>
      <c r="E10" s="9">
        <f t="shared" si="7"/>
        <v>0.18303571428571427</v>
      </c>
      <c r="F10" s="9">
        <f t="shared" si="7"/>
        <v>0.17769376181474481</v>
      </c>
      <c r="G10" s="9">
        <f t="shared" si="7"/>
        <v>0.19345238095238096</v>
      </c>
      <c r="H10" s="9">
        <f t="shared" si="7"/>
        <v>0.14540816326530612</v>
      </c>
      <c r="I10" s="9">
        <f t="shared" si="7"/>
        <v>0.1581798483206934</v>
      </c>
      <c r="J10" s="11">
        <f>AVERAGE(B10:I10)</f>
        <v>0.18825903608382558</v>
      </c>
    </row>
    <row r="13" spans="1:15" x14ac:dyDescent="0.25">
      <c r="A13" t="s">
        <v>8</v>
      </c>
      <c r="B13" s="7">
        <v>175000</v>
      </c>
      <c r="C13" s="7">
        <v>170000</v>
      </c>
      <c r="D13" s="7">
        <v>164000</v>
      </c>
      <c r="E13" s="7">
        <v>167000</v>
      </c>
      <c r="F13" s="7">
        <v>148000</v>
      </c>
      <c r="G13" s="7">
        <v>15000</v>
      </c>
      <c r="H13" s="7">
        <v>155000</v>
      </c>
      <c r="I13" s="7">
        <v>152000</v>
      </c>
      <c r="K13" s="7">
        <v>175000</v>
      </c>
      <c r="L13" s="7">
        <v>175000</v>
      </c>
      <c r="M13" s="7">
        <v>175000</v>
      </c>
      <c r="N13" s="7">
        <v>175000</v>
      </c>
      <c r="O13" s="7">
        <v>175000</v>
      </c>
    </row>
    <row r="14" spans="1:15" x14ac:dyDescent="0.25">
      <c r="A14" t="s">
        <v>9</v>
      </c>
      <c r="B14" s="2">
        <v>71000</v>
      </c>
      <c r="C14" s="2">
        <v>94000</v>
      </c>
      <c r="D14" s="2">
        <v>103000</v>
      </c>
      <c r="E14" s="2">
        <v>173000</v>
      </c>
      <c r="F14" s="2">
        <v>115000</v>
      </c>
      <c r="G14" s="2">
        <v>175000</v>
      </c>
      <c r="H14" s="2">
        <v>167000</v>
      </c>
      <c r="I14" s="2">
        <v>165000</v>
      </c>
      <c r="K14" s="2">
        <v>175000</v>
      </c>
      <c r="L14" s="2">
        <v>175000</v>
      </c>
      <c r="M14" s="2">
        <v>175000</v>
      </c>
      <c r="N14" s="2">
        <v>175000</v>
      </c>
      <c r="O14" s="2">
        <v>175000</v>
      </c>
    </row>
    <row r="15" spans="1:15" x14ac:dyDescent="0.25">
      <c r="A15" t="s">
        <v>10</v>
      </c>
      <c r="B15" s="2">
        <f>(632000-417000)-(547000-342000)</f>
        <v>10000</v>
      </c>
      <c r="C15" s="2">
        <f>(725000-426000)-(632000-417000)</f>
        <v>84000</v>
      </c>
      <c r="D15" s="2">
        <f>(686000-417000)-(725000-426000)</f>
        <v>-30000</v>
      </c>
      <c r="E15" s="2">
        <f>(756000-373000)-(686000-417000)</f>
        <v>114000</v>
      </c>
      <c r="F15" s="2">
        <f>(671000-459000)-(756000-373000)</f>
        <v>-171000</v>
      </c>
      <c r="G15" s="2">
        <f>(866000-480000)-(756000-373000)</f>
        <v>3000</v>
      </c>
      <c r="H15" s="2"/>
      <c r="I15" s="2"/>
      <c r="K15" s="2">
        <v>5000</v>
      </c>
      <c r="L15" s="2">
        <v>5000</v>
      </c>
      <c r="M15" s="2">
        <v>5000</v>
      </c>
      <c r="N15" s="2">
        <v>5000</v>
      </c>
      <c r="O15" s="2">
        <v>5000</v>
      </c>
    </row>
    <row r="21" spans="1:16" x14ac:dyDescent="0.25">
      <c r="J21" s="13" t="s">
        <v>11</v>
      </c>
      <c r="K21" s="14">
        <f>K8*(1-$J$10)+$K$13-$K$14-$K$15</f>
        <v>839829.78418241325</v>
      </c>
      <c r="L21" s="14">
        <f>L8*(1-$J$10)+$K$13-$K$14-$K$15</f>
        <v>945404.16413250472</v>
      </c>
      <c r="M21" s="14">
        <f t="shared" ref="M21:O21" si="8">M8*(1-$J$10)+$K$13-$K$14-$K$15</f>
        <v>1061913.3828210428</v>
      </c>
      <c r="N21" s="14">
        <f t="shared" si="8"/>
        <v>1190397.4659833445</v>
      </c>
      <c r="O21" s="14">
        <f t="shared" si="8"/>
        <v>1331990.7814906344</v>
      </c>
      <c r="P21" s="14">
        <f>(O8+O13)*K26</f>
        <v>12863784.559874233</v>
      </c>
    </row>
    <row r="22" spans="1:16" x14ac:dyDescent="0.25">
      <c r="A22" s="15" t="s">
        <v>16</v>
      </c>
      <c r="B22" s="23">
        <f>NPV(WACC!B13+WACC!B13,K21:P21)</f>
        <v>13532009.3454275</v>
      </c>
      <c r="J22" t="s">
        <v>15</v>
      </c>
    </row>
    <row r="23" spans="1:16" x14ac:dyDescent="0.25">
      <c r="A23" s="15" t="s">
        <v>17</v>
      </c>
      <c r="B23" s="23" t="s">
        <v>37</v>
      </c>
    </row>
    <row r="24" spans="1:16" x14ac:dyDescent="0.25">
      <c r="A24" s="15" t="s">
        <v>18</v>
      </c>
      <c r="B24" s="2">
        <v>2520000</v>
      </c>
    </row>
    <row r="25" spans="1:16" x14ac:dyDescent="0.25">
      <c r="A25" s="15" t="s">
        <v>19</v>
      </c>
      <c r="B25" s="2">
        <f>B22+232000-2520000</f>
        <v>11244009.3454275</v>
      </c>
    </row>
    <row r="26" spans="1:16" x14ac:dyDescent="0.25">
      <c r="A26" t="s">
        <v>20</v>
      </c>
      <c r="B26" s="2">
        <v>89484</v>
      </c>
      <c r="J26" t="s">
        <v>13</v>
      </c>
      <c r="K26" s="12">
        <v>7.06</v>
      </c>
    </row>
    <row r="27" spans="1:16" x14ac:dyDescent="0.25">
      <c r="A27" s="15" t="s">
        <v>21</v>
      </c>
      <c r="B27" s="24">
        <f>B25/B26</f>
        <v>125.65385259294958</v>
      </c>
      <c r="J27" t="s">
        <v>12</v>
      </c>
      <c r="K27" s="2">
        <f>(O8+O13)*K26</f>
        <v>12863784.559874233</v>
      </c>
    </row>
    <row r="28" spans="1:16" x14ac:dyDescent="0.25">
      <c r="A28" s="22" t="s">
        <v>35</v>
      </c>
      <c r="B28" s="25">
        <v>61.38</v>
      </c>
      <c r="J28" t="s">
        <v>14</v>
      </c>
      <c r="K28" s="2">
        <f>(O8+O13)*K26</f>
        <v>12863784.559874233</v>
      </c>
    </row>
    <row r="29" spans="1:16" x14ac:dyDescent="0.25">
      <c r="A29" s="15" t="s">
        <v>36</v>
      </c>
      <c r="B29" s="19">
        <f>B27/B28-1</f>
        <v>1.047146506890674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D02C-8257-424B-A204-0C90EF0FBBFD}">
  <dimension ref="A4:M18"/>
  <sheetViews>
    <sheetView workbookViewId="0">
      <selection activeCell="G10" sqref="G10"/>
    </sheetView>
  </sheetViews>
  <sheetFormatPr defaultRowHeight="15" x14ac:dyDescent="0.25"/>
  <cols>
    <col min="1" max="1" width="30.7109375" customWidth="1"/>
    <col min="2" max="2" width="12.140625" bestFit="1" customWidth="1"/>
  </cols>
  <sheetData>
    <row r="4" spans="1:13" x14ac:dyDescent="0.25">
      <c r="A4" s="15" t="s">
        <v>22</v>
      </c>
      <c r="B4" s="20" t="s">
        <v>33</v>
      </c>
      <c r="C4" s="19"/>
    </row>
    <row r="5" spans="1:13" x14ac:dyDescent="0.25">
      <c r="A5" t="s">
        <v>23</v>
      </c>
      <c r="B5" s="18">
        <v>4.5999999999999996</v>
      </c>
      <c r="D5" t="s">
        <v>32</v>
      </c>
    </row>
    <row r="6" spans="1:13" x14ac:dyDescent="0.25">
      <c r="A6" t="s">
        <v>24</v>
      </c>
      <c r="B6" s="16">
        <v>0.97</v>
      </c>
    </row>
    <row r="7" spans="1:13" x14ac:dyDescent="0.25">
      <c r="A7" t="s">
        <v>25</v>
      </c>
      <c r="B7" s="17">
        <v>4.01</v>
      </c>
      <c r="D7" t="s">
        <v>32</v>
      </c>
    </row>
    <row r="9" spans="1:13" x14ac:dyDescent="0.25">
      <c r="A9" s="15" t="s">
        <v>26</v>
      </c>
      <c r="B9" s="4" t="s">
        <v>34</v>
      </c>
    </row>
    <row r="10" spans="1:13" x14ac:dyDescent="0.25">
      <c r="A10" t="s">
        <v>30</v>
      </c>
      <c r="B10" s="4">
        <f>10/275*((100-19)/100)</f>
        <v>2.9454545454545455E-2</v>
      </c>
      <c r="L10" s="19"/>
      <c r="M10" s="12"/>
    </row>
    <row r="11" spans="1:13" x14ac:dyDescent="0.25">
      <c r="A11" t="s">
        <v>31</v>
      </c>
      <c r="B11" s="4">
        <f>FCF!O13*FCF!J10/FCF!N9</f>
        <v>0.11883467443062976</v>
      </c>
      <c r="L11" s="4"/>
    </row>
    <row r="13" spans="1:13" x14ac:dyDescent="0.25">
      <c r="A13" s="15" t="s">
        <v>27</v>
      </c>
      <c r="B13" s="10">
        <v>0.03</v>
      </c>
    </row>
    <row r="14" spans="1:13" x14ac:dyDescent="0.25">
      <c r="A14" t="s">
        <v>28</v>
      </c>
      <c r="B14" s="4">
        <v>0.15</v>
      </c>
    </row>
    <row r="15" spans="1:13" x14ac:dyDescent="0.25">
      <c r="A15" t="s">
        <v>29</v>
      </c>
      <c r="B15" s="4">
        <v>0.85</v>
      </c>
    </row>
    <row r="16" spans="1:13" x14ac:dyDescent="0.25">
      <c r="E16" s="21"/>
      <c r="F16" s="10"/>
    </row>
    <row r="17" spans="6:6" x14ac:dyDescent="0.25">
      <c r="F17" s="10"/>
    </row>
    <row r="18" spans="6:6" x14ac:dyDescent="0.25">
      <c r="F18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E5AC-92D0-404E-B814-36062D1B52F9}">
  <dimension ref="A1:M28"/>
  <sheetViews>
    <sheetView workbookViewId="0">
      <selection activeCell="D29" sqref="D29"/>
    </sheetView>
  </sheetViews>
  <sheetFormatPr defaultColWidth="15.7109375" defaultRowHeight="15" x14ac:dyDescent="0.25"/>
  <cols>
    <col min="1" max="1" width="20.7109375" customWidth="1"/>
    <col min="3" max="5" width="18.7109375" bestFit="1" customWidth="1"/>
    <col min="6" max="8" width="17.7109375" bestFit="1" customWidth="1"/>
  </cols>
  <sheetData>
    <row r="1" spans="1:12" x14ac:dyDescent="0.25">
      <c r="A1" s="15" t="s">
        <v>38</v>
      </c>
      <c r="B1" s="15" t="s">
        <v>39</v>
      </c>
      <c r="C1" t="s">
        <v>56</v>
      </c>
      <c r="D1" s="15" t="s">
        <v>42</v>
      </c>
      <c r="E1" s="15" t="s">
        <v>43</v>
      </c>
      <c r="F1" s="15" t="s">
        <v>44</v>
      </c>
      <c r="G1" s="15" t="s">
        <v>5</v>
      </c>
      <c r="H1" s="15" t="s">
        <v>45</v>
      </c>
      <c r="I1" s="15" t="s">
        <v>46</v>
      </c>
      <c r="J1" s="15" t="s">
        <v>47</v>
      </c>
      <c r="K1" s="15" t="s">
        <v>48</v>
      </c>
      <c r="L1" s="15" t="s">
        <v>49</v>
      </c>
    </row>
    <row r="2" spans="1:12" x14ac:dyDescent="0.25">
      <c r="A2" t="s">
        <v>50</v>
      </c>
      <c r="B2" s="2">
        <v>260.82</v>
      </c>
      <c r="C2" s="2">
        <v>77046000000</v>
      </c>
      <c r="D2" s="2">
        <f>C2+8370000000</f>
        <v>85416000000</v>
      </c>
      <c r="E2" s="2">
        <v>16107000000</v>
      </c>
      <c r="F2" s="2">
        <v>4484000000</v>
      </c>
      <c r="G2" s="2">
        <v>4089000000</v>
      </c>
      <c r="H2" s="2">
        <v>2957000000</v>
      </c>
      <c r="I2">
        <f>D2/E2</f>
        <v>5.3030359471037434</v>
      </c>
      <c r="J2">
        <f>D2/F2</f>
        <v>19.049063336306869</v>
      </c>
      <c r="K2">
        <f>D2/G2</f>
        <v>20.889214966984593</v>
      </c>
      <c r="L2">
        <f>C2/H2</f>
        <v>26.055461616503212</v>
      </c>
    </row>
    <row r="3" spans="1:12" x14ac:dyDescent="0.25">
      <c r="A3" t="s">
        <v>51</v>
      </c>
      <c r="B3" s="2">
        <v>119.36</v>
      </c>
      <c r="C3" s="2">
        <v>9860000000</v>
      </c>
      <c r="D3" s="2">
        <f>C3+1364000000</f>
        <v>11224000000</v>
      </c>
      <c r="E3" s="2">
        <v>10475000000</v>
      </c>
      <c r="F3" s="2">
        <v>1083000000</v>
      </c>
      <c r="G3" s="2">
        <v>705000000</v>
      </c>
      <c r="H3" s="2">
        <v>488000000</v>
      </c>
      <c r="I3">
        <f t="shared" ref="I3:I8" si="0">D3/E3</f>
        <v>1.0715035799522672</v>
      </c>
      <c r="J3">
        <f t="shared" ref="J3:J8" si="1">D3/F3</f>
        <v>10.363804247460758</v>
      </c>
      <c r="K3">
        <f t="shared" ref="K3:K8" si="2">D3/G3</f>
        <v>15.920567375886526</v>
      </c>
      <c r="L3">
        <f t="shared" ref="L3:L8" si="3">C3/H3</f>
        <v>20.204918032786885</v>
      </c>
    </row>
    <row r="4" spans="1:12" x14ac:dyDescent="0.25">
      <c r="A4" t="s">
        <v>52</v>
      </c>
      <c r="B4" s="27">
        <v>37.29</v>
      </c>
      <c r="C4" s="2">
        <v>8630000000</v>
      </c>
      <c r="D4" s="2">
        <f>C4+60000000</f>
        <v>8690000000</v>
      </c>
      <c r="E4" s="2">
        <v>2299215000</v>
      </c>
      <c r="F4" s="2">
        <v>589052000</v>
      </c>
      <c r="G4" s="2">
        <v>495731000</v>
      </c>
      <c r="H4" s="2">
        <v>422051000</v>
      </c>
      <c r="I4">
        <f t="shared" si="0"/>
        <v>3.7795508467020267</v>
      </c>
      <c r="J4">
        <f t="shared" si="1"/>
        <v>14.752517604557832</v>
      </c>
      <c r="K4">
        <f t="shared" si="2"/>
        <v>17.529668308013822</v>
      </c>
      <c r="L4">
        <f t="shared" si="3"/>
        <v>20.447765791338014</v>
      </c>
    </row>
    <row r="5" spans="1:12" x14ac:dyDescent="0.25">
      <c r="A5" t="s">
        <v>53</v>
      </c>
      <c r="B5" s="2">
        <v>142.25</v>
      </c>
      <c r="C5" s="2">
        <v>8110000000</v>
      </c>
      <c r="D5" s="2">
        <f>C5+1574100000</f>
        <v>9684100000</v>
      </c>
      <c r="E5" s="2">
        <v>23466900000</v>
      </c>
      <c r="F5" s="2">
        <v>1482700000</v>
      </c>
      <c r="G5" s="2">
        <v>878300000</v>
      </c>
      <c r="H5" s="2">
        <v>572500000</v>
      </c>
      <c r="I5">
        <f t="shared" si="0"/>
        <v>0.41267061265015831</v>
      </c>
      <c r="J5">
        <f t="shared" si="1"/>
        <v>6.5313954272610779</v>
      </c>
      <c r="K5">
        <f t="shared" si="2"/>
        <v>11.025959239439826</v>
      </c>
      <c r="L5">
        <f t="shared" si="3"/>
        <v>14.165938864628821</v>
      </c>
    </row>
    <row r="6" spans="1:12" x14ac:dyDescent="0.25">
      <c r="A6" t="s">
        <v>54</v>
      </c>
      <c r="B6" s="2">
        <v>117.67</v>
      </c>
      <c r="C6" s="2">
        <v>3230000000</v>
      </c>
      <c r="D6" s="2">
        <f>C6+445000000</f>
        <v>3675000000</v>
      </c>
      <c r="E6" s="2">
        <v>3954000000</v>
      </c>
      <c r="F6" s="2">
        <v>378000000</v>
      </c>
      <c r="G6" s="2">
        <v>274000000</v>
      </c>
      <c r="H6" s="2">
        <v>486000000</v>
      </c>
      <c r="I6">
        <f t="shared" si="0"/>
        <v>0.92943854324734443</v>
      </c>
      <c r="J6">
        <f t="shared" si="1"/>
        <v>9.7222222222222214</v>
      </c>
      <c r="K6">
        <f t="shared" si="2"/>
        <v>13.412408759124087</v>
      </c>
      <c r="L6">
        <f t="shared" si="3"/>
        <v>6.6460905349794235</v>
      </c>
    </row>
    <row r="7" spans="1:12" x14ac:dyDescent="0.25">
      <c r="A7" t="s">
        <v>55</v>
      </c>
      <c r="B7" s="2">
        <v>35.619999999999997</v>
      </c>
      <c r="C7" s="2">
        <v>3250000000</v>
      </c>
      <c r="D7" s="2">
        <f>C7+1425000000</f>
        <v>4675000000</v>
      </c>
      <c r="E7" s="2">
        <v>15356000000</v>
      </c>
      <c r="F7" s="2">
        <v>838000000</v>
      </c>
      <c r="G7" s="2">
        <v>496000000</v>
      </c>
      <c r="H7" s="2">
        <v>213000000</v>
      </c>
      <c r="I7">
        <f t="shared" si="0"/>
        <v>0.30444126074498568</v>
      </c>
      <c r="J7">
        <f t="shared" si="1"/>
        <v>5.578758949880668</v>
      </c>
      <c r="K7">
        <f t="shared" si="2"/>
        <v>9.425403225806452</v>
      </c>
      <c r="L7">
        <f t="shared" si="3"/>
        <v>15.258215962441314</v>
      </c>
    </row>
    <row r="8" spans="1:12" x14ac:dyDescent="0.25">
      <c r="A8" t="s">
        <v>57</v>
      </c>
      <c r="B8" s="2">
        <v>75.510000000000005</v>
      </c>
      <c r="C8" s="2">
        <v>6590000000</v>
      </c>
      <c r="D8" s="2">
        <f>C8+2275000000</f>
        <v>8865000000</v>
      </c>
      <c r="E8" s="2">
        <v>3035000000</v>
      </c>
      <c r="F8" s="2">
        <v>934000000</v>
      </c>
      <c r="G8" s="2">
        <v>934000000</v>
      </c>
      <c r="H8" s="2">
        <v>673000000</v>
      </c>
      <c r="I8">
        <f t="shared" si="0"/>
        <v>2.9209225700164745</v>
      </c>
      <c r="J8">
        <f t="shared" si="1"/>
        <v>9.4914346895074946</v>
      </c>
      <c r="K8">
        <f t="shared" si="2"/>
        <v>9.4914346895074946</v>
      </c>
      <c r="L8">
        <f t="shared" si="3"/>
        <v>9.7919762258543841</v>
      </c>
    </row>
    <row r="15" spans="1:12" x14ac:dyDescent="0.25">
      <c r="A15" s="15" t="s">
        <v>40</v>
      </c>
      <c r="I15" s="26">
        <f>AVERAGE(I2:I14)</f>
        <v>2.1030804800595715</v>
      </c>
      <c r="J15" s="26">
        <f>AVERAGE(J2:J14)</f>
        <v>10.784170925313846</v>
      </c>
      <c r="K15" s="26">
        <f t="shared" ref="K15:L15" si="4">AVERAGE(K2:K14)</f>
        <v>13.95637950925183</v>
      </c>
      <c r="L15" s="26">
        <f t="shared" si="4"/>
        <v>16.081481004076007</v>
      </c>
    </row>
    <row r="16" spans="1:12" x14ac:dyDescent="0.25">
      <c r="A16" s="15" t="s">
        <v>41</v>
      </c>
      <c r="I16" s="26">
        <f>I8/I15</f>
        <v>1.3888781707173361</v>
      </c>
      <c r="J16" s="26">
        <f t="shared" ref="J16:L16" si="5">J8/J15</f>
        <v>0.88012650719659002</v>
      </c>
      <c r="K16" s="26">
        <f t="shared" si="5"/>
        <v>0.68007857504989189</v>
      </c>
      <c r="L16" s="26">
        <f t="shared" si="5"/>
        <v>0.60889766454796745</v>
      </c>
    </row>
    <row r="19" spans="4:13" x14ac:dyDescent="0.25">
      <c r="I19" s="28">
        <f>$B$8*I16</f>
        <v>104.87419067086606</v>
      </c>
      <c r="J19" s="28">
        <f t="shared" ref="J19:L19" si="6">$B$8*J16</f>
        <v>66.458352558414518</v>
      </c>
      <c r="K19" s="28">
        <f t="shared" si="6"/>
        <v>51.35273320201734</v>
      </c>
      <c r="L19" s="28">
        <f t="shared" si="6"/>
        <v>45.977862650017023</v>
      </c>
      <c r="M19" s="2"/>
    </row>
    <row r="22" spans="4:13" x14ac:dyDescent="0.25">
      <c r="L22" s="2"/>
    </row>
    <row r="23" spans="4:13" x14ac:dyDescent="0.25">
      <c r="L23" s="29">
        <f>AVERAGE(I19:L19)</f>
        <v>67.165784770328742</v>
      </c>
    </row>
    <row r="24" spans="4:13" x14ac:dyDescent="0.25">
      <c r="L24">
        <f>1-L23/B8</f>
        <v>0.11050477062205355</v>
      </c>
    </row>
    <row r="28" spans="4:13" x14ac:dyDescent="0.25">
      <c r="D28" s="2">
        <f>(L23*6+4*FCF!B27)/10</f>
        <v>90.561011899377078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7D86-A501-46EB-9463-7F18DC6294A5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FCF</vt:lpstr>
      <vt:lpstr>WACC</vt:lpstr>
      <vt:lpstr>RATİO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furkan panayir</dc:creator>
  <cp:lastModifiedBy>furkan panayir</cp:lastModifiedBy>
  <dcterms:created xsi:type="dcterms:W3CDTF">2015-06-05T18:17:20Z</dcterms:created>
  <dcterms:modified xsi:type="dcterms:W3CDTF">2024-04-10T20:38:28Z</dcterms:modified>
</cp:coreProperties>
</file>