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furka\Desktop\DOSYALARIM\Az kullandıklarım\Hisse ve Şirket değerleme\2023-2024 OCAK\DONE\"/>
    </mc:Choice>
  </mc:AlternateContent>
  <xr:revisionPtr revIDLastSave="0" documentId="13_ncr:1_{27CE2F38-0058-4BF5-8B31-0CCDBA102E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CF" sheetId="1" r:id="rId1"/>
    <sheet name="WACC" sheetId="2" r:id="rId2"/>
    <sheet name="CCA" sheetId="3" r:id="rId3"/>
    <sheet name="ABOUT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3" l="1"/>
  <c r="J16" i="3"/>
  <c r="K16" i="3"/>
  <c r="L16" i="3"/>
  <c r="I16" i="3"/>
  <c r="J15" i="3"/>
  <c r="K15" i="3"/>
  <c r="L15" i="3"/>
  <c r="I15" i="3"/>
  <c r="L3" i="3"/>
  <c r="L4" i="3"/>
  <c r="L5" i="3"/>
  <c r="L6" i="3"/>
  <c r="L2" i="3"/>
  <c r="K3" i="3"/>
  <c r="K4" i="3"/>
  <c r="K5" i="3"/>
  <c r="K6" i="3"/>
  <c r="K2" i="3"/>
  <c r="J3" i="3"/>
  <c r="J4" i="3"/>
  <c r="J5" i="3"/>
  <c r="J6" i="3"/>
  <c r="J2" i="3"/>
  <c r="I3" i="3"/>
  <c r="I4" i="3"/>
  <c r="I5" i="3"/>
  <c r="I6" i="3"/>
  <c r="I2" i="3"/>
  <c r="D6" i="3"/>
  <c r="D5" i="3"/>
  <c r="D4" i="3"/>
  <c r="D3" i="3"/>
  <c r="D2" i="3"/>
  <c r="B29" i="1"/>
  <c r="B27" i="1"/>
  <c r="B25" i="1"/>
  <c r="B22" i="1"/>
  <c r="B15" i="2"/>
  <c r="B13" i="2" s="1"/>
  <c r="B4" i="2"/>
  <c r="P21" i="1" l="1"/>
  <c r="J28" i="1"/>
  <c r="L21" i="1" l="1"/>
  <c r="M21" i="1"/>
  <c r="N21" i="1"/>
  <c r="O21" i="1"/>
  <c r="K21" i="1"/>
  <c r="K15" i="1"/>
  <c r="K14" i="1"/>
  <c r="L14" i="1"/>
  <c r="K13" i="1"/>
  <c r="J14" i="1"/>
  <c r="J15" i="1"/>
  <c r="J13" i="1"/>
  <c r="L9" i="1"/>
  <c r="M9" i="1"/>
  <c r="N9" i="1"/>
  <c r="O9" i="1"/>
  <c r="K9" i="1"/>
  <c r="L8" i="1"/>
  <c r="M8" i="1"/>
  <c r="N8" i="1"/>
  <c r="O8" i="1"/>
  <c r="K8" i="1"/>
  <c r="M6" i="1"/>
  <c r="N6" i="1" s="1"/>
  <c r="O6" i="1" s="1"/>
  <c r="L6" i="1"/>
  <c r="K6" i="1"/>
  <c r="M2" i="1"/>
  <c r="N2" i="1" s="1"/>
  <c r="O2" i="1" s="1"/>
  <c r="L2" i="1"/>
  <c r="K2" i="1"/>
  <c r="J10" i="1"/>
  <c r="I10" i="1"/>
  <c r="D10" i="1"/>
  <c r="E10" i="1"/>
  <c r="F10" i="1"/>
  <c r="G10" i="1"/>
  <c r="H10" i="1"/>
  <c r="C10" i="1"/>
  <c r="J3" i="1"/>
  <c r="J7" i="1"/>
  <c r="E7" i="1"/>
  <c r="F7" i="1"/>
  <c r="G7" i="1"/>
  <c r="H7" i="1"/>
  <c r="I7" i="1"/>
  <c r="D7" i="1"/>
  <c r="E3" i="1"/>
  <c r="F3" i="1"/>
  <c r="G3" i="1"/>
  <c r="H3" i="1"/>
  <c r="I3" i="1"/>
  <c r="D3" i="1"/>
  <c r="D6" i="1"/>
  <c r="E6" i="1"/>
  <c r="F6" i="1"/>
  <c r="G6" i="1"/>
  <c r="H6" i="1"/>
  <c r="I6" i="1"/>
  <c r="C6" i="1"/>
  <c r="L15" i="1" l="1"/>
  <c r="M15" i="1"/>
  <c r="M14" i="1"/>
  <c r="N14" i="1" s="1"/>
  <c r="O14" i="1" s="1"/>
  <c r="L13" i="1"/>
  <c r="M13" i="1" s="1"/>
  <c r="N15" i="1" l="1"/>
  <c r="O15" i="1" s="1"/>
  <c r="N13" i="1"/>
  <c r="O13" i="1" s="1"/>
</calcChain>
</file>

<file path=xl/sharedStrings.xml><?xml version="1.0" encoding="utf-8"?>
<sst xmlns="http://schemas.openxmlformats.org/spreadsheetml/2006/main" count="57" uniqueCount="55">
  <si>
    <t>REVENUE</t>
  </si>
  <si>
    <t xml:space="preserve">Average </t>
  </si>
  <si>
    <t>COGS</t>
  </si>
  <si>
    <t>TOTAL OPERATİNG EXPENSES</t>
  </si>
  <si>
    <t>EBIT</t>
  </si>
  <si>
    <t>INCOME TAX</t>
  </si>
  <si>
    <t>TAX RATE</t>
  </si>
  <si>
    <t>DEPRECİATİON&amp;AMORTİZATİON</t>
  </si>
  <si>
    <t>(NET CAPİTAL EXPENDİTURE)</t>
  </si>
  <si>
    <t>(CHANGE IN WORKING CAPITAL)</t>
  </si>
  <si>
    <t>FCF</t>
  </si>
  <si>
    <t>EV/EBİTDA</t>
  </si>
  <si>
    <t>EV/EBİTDA multiple</t>
  </si>
  <si>
    <t>TERMİNAL VALUE</t>
  </si>
  <si>
    <t>FCF=EBIT*(1-TAX RATE)+DEPRECİATİON&amp;AMORTİZATİON-NET CAPEX-INCREASE IN WORKING CAPITAL</t>
  </si>
  <si>
    <t>NPV OF FCF (ENTERPRİSE VALUE)</t>
  </si>
  <si>
    <t>CASH AND CASH EQUİVALENTS</t>
  </si>
  <si>
    <t>(DEBT)</t>
  </si>
  <si>
    <t>EQUİTY VALUE</t>
  </si>
  <si>
    <t>SHARES OUTSTANDING</t>
  </si>
  <si>
    <t>FAIR VALUE OF THE COMPANY</t>
  </si>
  <si>
    <t>COST OF EQUITY</t>
  </si>
  <si>
    <t>EQUITY RISK PREMIUM</t>
  </si>
  <si>
    <t>(X)BETA</t>
  </si>
  <si>
    <t>(+)RISK FREE RATE</t>
  </si>
  <si>
    <t>COST OF DEBT</t>
  </si>
  <si>
    <t>WACC</t>
  </si>
  <si>
    <t>PERCENT OF EQUITY</t>
  </si>
  <si>
    <t>PERCENT OF DEBT</t>
  </si>
  <si>
    <t>AVERAGE YIELD ON DEBT</t>
  </si>
  <si>
    <t>(X)TAX SHIELD</t>
  </si>
  <si>
    <t>FOR USA</t>
  </si>
  <si>
    <t>MARKET PRICE 8TH OF FEBRUARY</t>
  </si>
  <si>
    <t>Growth Forecast</t>
  </si>
  <si>
    <t>COMPANY</t>
  </si>
  <si>
    <t>MARKET CAP</t>
  </si>
  <si>
    <t>PRICE</t>
  </si>
  <si>
    <t>AVERAGE</t>
  </si>
  <si>
    <t>DIFFERENCE</t>
  </si>
  <si>
    <t>EV</t>
  </si>
  <si>
    <t>SALES</t>
  </si>
  <si>
    <t>EBITDA</t>
  </si>
  <si>
    <t>EARNINGS</t>
  </si>
  <si>
    <t>EV/SALES</t>
  </si>
  <si>
    <t>EV/EBITDA</t>
  </si>
  <si>
    <t>EV/EBIT</t>
  </si>
  <si>
    <t>P/E</t>
  </si>
  <si>
    <t>SECTOR AVERAGES</t>
  </si>
  <si>
    <t>EXİT</t>
  </si>
  <si>
    <t>OPERATING EXPENSES</t>
  </si>
  <si>
    <t>Fox Factory Holding</t>
  </si>
  <si>
    <t>LCI Industries</t>
  </si>
  <si>
    <t>Polaris</t>
  </si>
  <si>
    <t>Thor Industries</t>
  </si>
  <si>
    <t>BRP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</si>
</sst>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.00_ ;_-[$$-409]* \-#,##0.00\ ;_-[$$-409]* &quot;-&quot;??_ ;_-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164" fontId="0" fillId="0" borderId="0" xfId="0" applyNumberFormat="1"/>
    <xf numFmtId="9" fontId="0" fillId="0" borderId="0" xfId="1" applyFont="1"/>
    <xf numFmtId="9" fontId="0" fillId="0" borderId="0" xfId="0" applyNumberFormat="1"/>
    <xf numFmtId="2" fontId="0" fillId="0" borderId="0" xfId="0" applyNumberFormat="1"/>
    <xf numFmtId="0" fontId="0" fillId="2" borderId="0" xfId="0" applyFill="1"/>
    <xf numFmtId="164" fontId="0" fillId="2" borderId="0" xfId="0" applyNumberFormat="1" applyFill="1"/>
    <xf numFmtId="0" fontId="3" fillId="0" borderId="0" xfId="0" applyFont="1"/>
    <xf numFmtId="2" fontId="0" fillId="0" borderId="0" xfId="0" applyNumberFormat="1" applyAlignment="1">
      <alignment horizontal="center"/>
    </xf>
    <xf numFmtId="10" fontId="0" fillId="0" borderId="0" xfId="0" applyNumberFormat="1"/>
    <xf numFmtId="10" fontId="0" fillId="0" borderId="0" xfId="1" applyNumberFormat="1" applyFont="1"/>
    <xf numFmtId="0" fontId="0" fillId="0" borderId="0" xfId="1" applyNumberFormat="1" applyFont="1"/>
    <xf numFmtId="0" fontId="1" fillId="0" borderId="0" xfId="0" applyFont="1"/>
    <xf numFmtId="0" fontId="0" fillId="3" borderId="0" xfId="0" applyFill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0" fillId="4" borderId="0" xfId="0" applyFill="1" applyAlignment="1">
      <alignment wrapText="1"/>
    </xf>
    <xf numFmtId="0" fontId="3" fillId="0" borderId="0" xfId="0" applyFont="1" applyAlignment="1">
      <alignment horizontal="center"/>
    </xf>
    <xf numFmtId="164" fontId="0" fillId="5" borderId="0" xfId="0" applyNumberFormat="1" applyFill="1"/>
    <xf numFmtId="2" fontId="0" fillId="6" borderId="0" xfId="0" applyNumberFormat="1" applyFill="1"/>
    <xf numFmtId="9" fontId="3" fillId="0" borderId="0" xfId="1" applyFont="1"/>
    <xf numFmtId="164" fontId="0" fillId="0" borderId="0" xfId="1" applyNumberFormat="1" applyFont="1"/>
    <xf numFmtId="9" fontId="0" fillId="0" borderId="0" xfId="1" applyFont="1" applyAlignment="1">
      <alignment horizontal="center"/>
    </xf>
    <xf numFmtId="9" fontId="0" fillId="5" borderId="0" xfId="1" applyFont="1" applyFill="1"/>
    <xf numFmtId="9" fontId="0" fillId="3" borderId="0" xfId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9525</xdr:rowOff>
    </xdr:from>
    <xdr:to>
      <xdr:col>29</xdr:col>
      <xdr:colOff>28575</xdr:colOff>
      <xdr:row>36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8341F65-C126-7C24-84B5-93B049CD85C3}"/>
            </a:ext>
          </a:extLst>
        </xdr:cNvPr>
        <xdr:cNvSpPr txBox="1"/>
      </xdr:nvSpPr>
      <xdr:spPr>
        <a:xfrm>
          <a:off x="152400" y="200025"/>
          <a:ext cx="17554575" cy="6838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r-TR" sz="2400">
              <a:solidFill>
                <a:schemeClr val="accent1">
                  <a:lumMod val="75000"/>
                </a:schemeClr>
              </a:solidFill>
            </a:rPr>
            <a:t>Growth</a:t>
          </a:r>
          <a:r>
            <a:rPr lang="tr-TR" sz="2400" baseline="0">
              <a:solidFill>
                <a:schemeClr val="accent1">
                  <a:lumMod val="75000"/>
                </a:schemeClr>
              </a:solidFill>
            </a:rPr>
            <a:t> forecast dcf:66%</a:t>
          </a:r>
        </a:p>
        <a:p>
          <a:r>
            <a:rPr lang="tr-TR" sz="2400" baseline="0">
              <a:solidFill>
                <a:schemeClr val="accent1">
                  <a:lumMod val="75000"/>
                </a:schemeClr>
              </a:solidFill>
            </a:rPr>
            <a:t>Growth forecast cca:82%</a:t>
          </a:r>
        </a:p>
        <a:p>
          <a:r>
            <a:rPr lang="tr-TR" sz="2400" baseline="0">
              <a:solidFill>
                <a:schemeClr val="accent1">
                  <a:lumMod val="75000"/>
                </a:schemeClr>
              </a:solidFill>
            </a:rPr>
            <a:t>DCF is more important because it should be considered similar to growth companies.</a:t>
          </a:r>
        </a:p>
        <a:p>
          <a:r>
            <a:rPr lang="tr-TR" sz="2400" baseline="0">
              <a:solidFill>
                <a:schemeClr val="accent1">
                  <a:lumMod val="75000"/>
                </a:schemeClr>
              </a:solidFill>
            </a:rPr>
            <a:t>Produces sport vehicles and boats, also have new e-vehicles for those products.</a:t>
          </a:r>
        </a:p>
        <a:p>
          <a:r>
            <a:rPr lang="tr-TR" sz="2400" baseline="0">
              <a:solidFill>
                <a:schemeClr val="accent1">
                  <a:lumMod val="75000"/>
                </a:schemeClr>
              </a:solidFill>
            </a:rPr>
            <a:t>Can be invested in, have lots of debt but financial debt is not too high.</a:t>
          </a:r>
        </a:p>
        <a:p>
          <a:endParaRPr lang="tr-TR" sz="2400" baseline="0">
            <a:solidFill>
              <a:schemeClr val="accent1">
                <a:lumMod val="75000"/>
              </a:schemeClr>
            </a:solidFill>
          </a:endParaRPr>
        </a:p>
        <a:p>
          <a:endParaRPr lang="en-US" sz="2400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tabSelected="1" workbookViewId="0">
      <selection activeCell="B30" sqref="B30"/>
    </sheetView>
  </sheetViews>
  <sheetFormatPr defaultColWidth="18.7109375" defaultRowHeight="15" x14ac:dyDescent="0.25"/>
  <cols>
    <col min="1" max="1" width="30.7109375" customWidth="1"/>
    <col min="2" max="2" width="19.7109375" bestFit="1" customWidth="1"/>
  </cols>
  <sheetData>
    <row r="1" spans="1:16" x14ac:dyDescent="0.25">
      <c r="A1" s="16"/>
      <c r="B1" s="14">
        <v>2016</v>
      </c>
      <c r="C1" s="14">
        <v>2017</v>
      </c>
      <c r="D1" s="7">
        <v>2018</v>
      </c>
      <c r="E1" s="14">
        <v>2019</v>
      </c>
      <c r="F1" s="14">
        <v>2020</v>
      </c>
      <c r="G1" s="14">
        <v>2021</v>
      </c>
      <c r="H1" s="14">
        <v>2022</v>
      </c>
      <c r="I1" s="14">
        <v>2023</v>
      </c>
      <c r="J1" s="15" t="s">
        <v>1</v>
      </c>
      <c r="K1" s="14">
        <v>2024</v>
      </c>
      <c r="L1" s="14">
        <v>2025</v>
      </c>
      <c r="M1" s="14">
        <v>2026</v>
      </c>
      <c r="N1" s="14">
        <v>2027</v>
      </c>
      <c r="O1" s="14">
        <v>2028</v>
      </c>
      <c r="P1" s="17" t="s">
        <v>48</v>
      </c>
    </row>
    <row r="2" spans="1:16" x14ac:dyDescent="0.25">
      <c r="A2" s="7" t="s">
        <v>0</v>
      </c>
      <c r="B2" s="1"/>
      <c r="C2" s="1">
        <v>3630000000</v>
      </c>
      <c r="D2" s="1">
        <v>3990000000</v>
      </c>
      <c r="E2" s="1">
        <v>4580000000</v>
      </c>
      <c r="F2" s="1">
        <v>4660000000</v>
      </c>
      <c r="G2" s="1">
        <v>6020000000</v>
      </c>
      <c r="H2" s="1">
        <v>7540000000</v>
      </c>
      <c r="I2" s="1">
        <v>7710000000</v>
      </c>
      <c r="J2" s="1"/>
      <c r="K2" s="1">
        <f>I2+I2*$J$3</f>
        <v>8778341397.7155151</v>
      </c>
      <c r="L2" s="1">
        <f>K2+K2*$J$3</f>
        <v>9994718248.3587532</v>
      </c>
      <c r="M2" s="1">
        <f t="shared" ref="M2:O2" si="0">L2+L2*$J$3</f>
        <v>11379643185.223131</v>
      </c>
      <c r="N2" s="1">
        <f t="shared" si="0"/>
        <v>12956471188.596039</v>
      </c>
      <c r="O2" s="1">
        <f t="shared" si="0"/>
        <v>14751793437.504663</v>
      </c>
    </row>
    <row r="3" spans="1:16" x14ac:dyDescent="0.25">
      <c r="A3" s="20"/>
      <c r="B3" s="2"/>
      <c r="C3" s="2"/>
      <c r="D3" s="2">
        <f>D2/C2-1</f>
        <v>9.9173553719008156E-2</v>
      </c>
      <c r="E3" s="2">
        <f>E2/D2-1</f>
        <v>0.14786967418546371</v>
      </c>
      <c r="F3" s="2">
        <f t="shared" ref="F3:I3" si="1">F2/E2-1</f>
        <v>1.7467248908296984E-2</v>
      </c>
      <c r="G3" s="2">
        <f t="shared" si="1"/>
        <v>0.29184549356223166</v>
      </c>
      <c r="H3" s="2">
        <f t="shared" si="1"/>
        <v>0.25249169435215957</v>
      </c>
      <c r="I3" s="2">
        <f t="shared" si="1"/>
        <v>2.2546419098143256E-2</v>
      </c>
      <c r="J3" s="2">
        <f>AVERAGE(D3:I3)</f>
        <v>0.13856568063755056</v>
      </c>
      <c r="K3" s="2"/>
      <c r="L3" s="2"/>
      <c r="M3" s="2"/>
      <c r="N3" s="2"/>
      <c r="O3" s="2"/>
    </row>
    <row r="4" spans="1:16" x14ac:dyDescent="0.25">
      <c r="A4" s="7" t="s">
        <v>2</v>
      </c>
      <c r="B4" s="1"/>
      <c r="C4" s="1">
        <v>2780000000</v>
      </c>
      <c r="D4" s="1">
        <v>3040000000</v>
      </c>
      <c r="E4" s="1">
        <v>3480000000</v>
      </c>
      <c r="F4" s="1">
        <v>3510000000</v>
      </c>
      <c r="G4" s="1">
        <v>4340000000</v>
      </c>
      <c r="H4" s="1">
        <v>5660000000</v>
      </c>
      <c r="I4" s="1">
        <v>5780000000</v>
      </c>
      <c r="J4" s="1"/>
      <c r="K4" s="1"/>
      <c r="L4" s="1"/>
      <c r="M4" s="1"/>
      <c r="N4" s="1"/>
      <c r="O4" s="1"/>
      <c r="P4" s="1"/>
    </row>
    <row r="5" spans="1:16" x14ac:dyDescent="0.25">
      <c r="A5" s="7" t="s">
        <v>49</v>
      </c>
      <c r="B5" s="1"/>
      <c r="C5" s="1">
        <v>532660000</v>
      </c>
      <c r="D5" s="1">
        <v>586770000</v>
      </c>
      <c r="E5" s="1">
        <v>680500000</v>
      </c>
      <c r="F5" s="1">
        <v>644960000</v>
      </c>
      <c r="G5" s="1">
        <v>774800000</v>
      </c>
      <c r="H5" s="1">
        <v>891780000</v>
      </c>
      <c r="I5" s="1">
        <v>998540000</v>
      </c>
      <c r="J5" s="1"/>
      <c r="K5" s="1"/>
      <c r="L5" s="1"/>
      <c r="M5" s="1"/>
      <c r="N5" s="1"/>
      <c r="O5" s="1"/>
      <c r="P5" s="1"/>
    </row>
    <row r="6" spans="1:16" x14ac:dyDescent="0.25">
      <c r="A6" s="7" t="s">
        <v>3</v>
      </c>
      <c r="B6" s="1"/>
      <c r="C6" s="1">
        <f>C4+C5</f>
        <v>3312660000</v>
      </c>
      <c r="D6" s="1">
        <f t="shared" ref="D6:I6" si="2">D4+D5</f>
        <v>3626770000</v>
      </c>
      <c r="E6" s="1">
        <f t="shared" si="2"/>
        <v>4160500000</v>
      </c>
      <c r="F6" s="1">
        <f t="shared" si="2"/>
        <v>4154960000</v>
      </c>
      <c r="G6" s="1">
        <f t="shared" si="2"/>
        <v>5114800000</v>
      </c>
      <c r="H6" s="1">
        <f t="shared" si="2"/>
        <v>6551780000</v>
      </c>
      <c r="I6" s="1">
        <f t="shared" si="2"/>
        <v>6778540000</v>
      </c>
      <c r="J6" s="1"/>
      <c r="K6" s="1">
        <f>I6+I6*J7</f>
        <v>7667907151.392911</v>
      </c>
      <c r="L6" s="1">
        <f>K6+K6*$J$7</f>
        <v>8673962251.809763</v>
      </c>
      <c r="M6" s="1">
        <f t="shared" ref="M6:O6" si="3">L6+L6*$J$7</f>
        <v>9812015150.9859409</v>
      </c>
      <c r="N6" s="1">
        <f t="shared" si="3"/>
        <v>11099384402.21946</v>
      </c>
      <c r="O6" s="1">
        <f t="shared" si="3"/>
        <v>12555660811.006134</v>
      </c>
      <c r="P6" s="1"/>
    </row>
    <row r="7" spans="1:16" x14ac:dyDescent="0.25">
      <c r="A7" s="20"/>
      <c r="B7" s="2"/>
      <c r="C7" s="2"/>
      <c r="D7" s="2">
        <f>D6/C6-1</f>
        <v>9.4821080340270258E-2</v>
      </c>
      <c r="E7" s="2">
        <f t="shared" ref="E7:I7" si="4">E6/D6-1</f>
        <v>0.14716400543734509</v>
      </c>
      <c r="F7" s="2">
        <f t="shared" si="4"/>
        <v>-1.3315707246724928E-3</v>
      </c>
      <c r="G7" s="2">
        <f t="shared" si="4"/>
        <v>0.2310106475152589</v>
      </c>
      <c r="H7" s="2">
        <f t="shared" si="4"/>
        <v>0.28094549151481973</v>
      </c>
      <c r="I7" s="2">
        <f t="shared" si="4"/>
        <v>3.4610441742549458E-2</v>
      </c>
      <c r="J7" s="2">
        <f>AVERAGE(D7:I7)</f>
        <v>0.13120334930426183</v>
      </c>
      <c r="K7" s="2"/>
      <c r="L7" s="2"/>
      <c r="M7" s="2"/>
      <c r="N7" s="2"/>
      <c r="O7" s="2"/>
    </row>
    <row r="8" spans="1:16" x14ac:dyDescent="0.25">
      <c r="A8" s="7" t="s">
        <v>4</v>
      </c>
      <c r="B8" s="1"/>
      <c r="C8" s="1">
        <v>319190000</v>
      </c>
      <c r="D8" s="1">
        <v>367620000</v>
      </c>
      <c r="E8" s="1">
        <v>418890000</v>
      </c>
      <c r="F8" s="1">
        <v>507570000</v>
      </c>
      <c r="G8" s="1">
        <v>902490000</v>
      </c>
      <c r="H8" s="1">
        <v>985520000</v>
      </c>
      <c r="I8" s="1">
        <v>936570000</v>
      </c>
      <c r="J8" s="1"/>
      <c r="K8" s="1">
        <f>K2-K6</f>
        <v>1110434246.3226042</v>
      </c>
      <c r="L8" s="1">
        <f t="shared" ref="L8:O8" si="5">L2-L6</f>
        <v>1320755996.5489902</v>
      </c>
      <c r="M8" s="1">
        <f t="shared" si="5"/>
        <v>1567628034.2371902</v>
      </c>
      <c r="N8" s="1">
        <f t="shared" si="5"/>
        <v>1857086786.3765793</v>
      </c>
      <c r="O8" s="1">
        <f t="shared" si="5"/>
        <v>2196132626.4985294</v>
      </c>
      <c r="P8" s="1"/>
    </row>
    <row r="9" spans="1:16" x14ac:dyDescent="0.25">
      <c r="A9" s="7" t="s">
        <v>5</v>
      </c>
      <c r="B9" s="1"/>
      <c r="C9" s="1">
        <v>112080000</v>
      </c>
      <c r="D9" s="1">
        <v>77360000</v>
      </c>
      <c r="E9" s="1">
        <v>84000000</v>
      </c>
      <c r="F9" s="1">
        <v>73430000</v>
      </c>
      <c r="G9" s="1">
        <v>193580000</v>
      </c>
      <c r="H9" s="1">
        <v>192130000</v>
      </c>
      <c r="I9" s="1">
        <v>125720000</v>
      </c>
      <c r="J9" s="1"/>
      <c r="K9" s="1">
        <f>K8*$J$10</f>
        <v>230090866.38902047</v>
      </c>
      <c r="L9" s="1">
        <f t="shared" ref="L9:O9" si="6">L8*$J$10</f>
        <v>273671216.95034957</v>
      </c>
      <c r="M9" s="1">
        <f t="shared" si="6"/>
        <v>324825079.70900804</v>
      </c>
      <c r="N9" s="1">
        <f t="shared" si="6"/>
        <v>384803250.66708165</v>
      </c>
      <c r="O9" s="1">
        <f t="shared" si="6"/>
        <v>455056263.26787359</v>
      </c>
      <c r="P9" s="1"/>
    </row>
    <row r="10" spans="1:16" x14ac:dyDescent="0.25">
      <c r="A10" s="7" t="s">
        <v>6</v>
      </c>
      <c r="B10" s="2"/>
      <c r="C10" s="2">
        <f>C9/C8</f>
        <v>0.35113882013847553</v>
      </c>
      <c r="D10" s="2">
        <f t="shared" ref="D10:I10" si="7">D9/D8</f>
        <v>0.2104346879930363</v>
      </c>
      <c r="E10" s="2">
        <f t="shared" si="7"/>
        <v>0.20052997206903961</v>
      </c>
      <c r="F10" s="2">
        <f t="shared" si="7"/>
        <v>0.14466970073093366</v>
      </c>
      <c r="G10" s="2">
        <f t="shared" si="7"/>
        <v>0.21449545147314653</v>
      </c>
      <c r="H10" s="2">
        <f t="shared" si="7"/>
        <v>0.19495291825635197</v>
      </c>
      <c r="I10" s="2">
        <f t="shared" si="7"/>
        <v>0.13423449395133305</v>
      </c>
      <c r="J10" s="2">
        <f>AVERAGE(C10:I10)</f>
        <v>0.20720800637318809</v>
      </c>
      <c r="K10" s="1"/>
      <c r="L10" s="1"/>
      <c r="M10" s="1"/>
      <c r="N10" s="1"/>
      <c r="O10" s="1"/>
      <c r="P10" s="1"/>
    </row>
    <row r="11" spans="1:16" x14ac:dyDescent="0.25">
      <c r="A11" s="7"/>
    </row>
    <row r="12" spans="1:16" x14ac:dyDescent="0.25">
      <c r="A12" s="7"/>
      <c r="J12" s="2"/>
    </row>
    <row r="13" spans="1:16" x14ac:dyDescent="0.25">
      <c r="A13" s="7" t="s">
        <v>7</v>
      </c>
      <c r="B13" s="1"/>
      <c r="C13" s="1">
        <v>121610000</v>
      </c>
      <c r="D13" s="1">
        <v>135000000</v>
      </c>
      <c r="E13" s="1">
        <v>177010000</v>
      </c>
      <c r="F13" s="1">
        <v>204160000</v>
      </c>
      <c r="G13" s="1">
        <v>215210000</v>
      </c>
      <c r="H13" s="1">
        <v>233140000</v>
      </c>
      <c r="I13" s="1">
        <v>291390000</v>
      </c>
      <c r="J13" s="21">
        <f>AVERAGE(C13:I13)</f>
        <v>196788571.42857143</v>
      </c>
      <c r="K13" s="21">
        <f t="shared" ref="K13:O15" si="8">AVERAGE(D13:J13)</f>
        <v>207528367.34693879</v>
      </c>
      <c r="L13" s="21">
        <f t="shared" si="8"/>
        <v>217889562.68221575</v>
      </c>
      <c r="M13" s="21">
        <f t="shared" si="8"/>
        <v>223729500.20824656</v>
      </c>
      <c r="N13" s="21">
        <f t="shared" si="8"/>
        <v>226525143.09513894</v>
      </c>
      <c r="O13" s="21">
        <f t="shared" si="8"/>
        <v>228141592.10873023</v>
      </c>
      <c r="P13" s="1"/>
    </row>
    <row r="14" spans="1:16" x14ac:dyDescent="0.25">
      <c r="A14" s="7" t="s">
        <v>8</v>
      </c>
      <c r="B14" s="1"/>
      <c r="C14" s="1">
        <v>187800000</v>
      </c>
      <c r="D14" s="1">
        <v>227370000</v>
      </c>
      <c r="E14" s="1">
        <v>250050000</v>
      </c>
      <c r="F14" s="1">
        <v>219110000</v>
      </c>
      <c r="G14" s="1">
        <v>548810000</v>
      </c>
      <c r="H14" s="1">
        <v>495280000</v>
      </c>
      <c r="I14" s="1">
        <v>435780000</v>
      </c>
      <c r="J14" s="21">
        <f t="shared" ref="J14:J15" si="9">AVERAGE(C14:I14)</f>
        <v>337742857.14285713</v>
      </c>
      <c r="K14" s="21">
        <f t="shared" si="8"/>
        <v>359163265.30612242</v>
      </c>
      <c r="L14" s="21">
        <f t="shared" si="8"/>
        <v>377990874.6355685</v>
      </c>
      <c r="M14" s="21">
        <f t="shared" si="8"/>
        <v>396268142.44064969</v>
      </c>
      <c r="N14" s="21">
        <f t="shared" si="8"/>
        <v>421576448.50359964</v>
      </c>
      <c r="O14" s="21">
        <f t="shared" si="8"/>
        <v>403400226.86125672</v>
      </c>
      <c r="P14" s="1"/>
    </row>
    <row r="15" spans="1:16" x14ac:dyDescent="0.25">
      <c r="A15" s="7" t="s">
        <v>9</v>
      </c>
      <c r="B15" s="1"/>
      <c r="C15" s="1">
        <v>-69040000</v>
      </c>
      <c r="D15" s="1">
        <v>13100000</v>
      </c>
      <c r="E15" s="1">
        <v>111680000</v>
      </c>
      <c r="F15" s="1">
        <v>-159850000</v>
      </c>
      <c r="G15" s="1">
        <v>407690000</v>
      </c>
      <c r="H15" s="1">
        <v>517730000</v>
      </c>
      <c r="I15" s="1">
        <v>-169760000</v>
      </c>
      <c r="J15" s="21">
        <f t="shared" si="9"/>
        <v>93078571.428571433</v>
      </c>
      <c r="K15" s="21">
        <f t="shared" si="8"/>
        <v>116238367.34693877</v>
      </c>
      <c r="L15" s="21">
        <f t="shared" si="8"/>
        <v>130972419.82507288</v>
      </c>
      <c r="M15" s="21">
        <f t="shared" si="8"/>
        <v>133728479.80008329</v>
      </c>
      <c r="N15" s="21">
        <f t="shared" si="8"/>
        <v>175668262.62866664</v>
      </c>
      <c r="O15" s="21">
        <f t="shared" si="8"/>
        <v>142522300.14704758</v>
      </c>
      <c r="P15" s="1"/>
    </row>
    <row r="16" spans="1:16" x14ac:dyDescent="0.25">
      <c r="B16" s="1"/>
      <c r="C16" s="1"/>
      <c r="D16" s="1"/>
      <c r="E16" s="1"/>
      <c r="F16" s="1"/>
      <c r="G16" s="1"/>
      <c r="H16" s="1"/>
      <c r="I16" s="1"/>
      <c r="J16" s="2"/>
      <c r="K16" s="1"/>
      <c r="L16" s="1"/>
      <c r="M16" s="1"/>
      <c r="N16" s="1"/>
      <c r="O16" s="1"/>
    </row>
    <row r="17" spans="1:16" x14ac:dyDescent="0.25">
      <c r="B17" s="1"/>
      <c r="C17" s="1"/>
      <c r="D17" s="1"/>
      <c r="E17" s="1"/>
      <c r="F17" s="1"/>
      <c r="G17" s="1"/>
      <c r="H17" s="1"/>
      <c r="I17" s="1"/>
      <c r="J17" s="2"/>
      <c r="K17" s="1"/>
      <c r="L17" s="1"/>
      <c r="M17" s="1"/>
      <c r="N17" s="1"/>
      <c r="O17" s="1"/>
    </row>
    <row r="21" spans="1:16" x14ac:dyDescent="0.25">
      <c r="J21" s="5" t="s">
        <v>10</v>
      </c>
      <c r="K21" s="6">
        <f>K8-K9+K13-K14-K15</f>
        <v>612470114.62746143</v>
      </c>
      <c r="L21" s="6">
        <f t="shared" ref="L21:O21" si="10">L8-L9+L13-L14-L15</f>
        <v>756011047.82021499</v>
      </c>
      <c r="M21" s="6">
        <f t="shared" si="10"/>
        <v>936535832.49569571</v>
      </c>
      <c r="N21" s="6">
        <f t="shared" si="10"/>
        <v>1101563967.6723704</v>
      </c>
      <c r="O21" s="6">
        <f t="shared" si="10"/>
        <v>1423295428.3310819</v>
      </c>
      <c r="P21" s="6">
        <f>O21*J26</f>
        <v>11386363426.648655</v>
      </c>
    </row>
    <row r="22" spans="1:16" x14ac:dyDescent="0.25">
      <c r="A22" s="7" t="s">
        <v>15</v>
      </c>
      <c r="B22" s="18">
        <f>NPV(WACC!B13,K21:P21)</f>
        <v>10548512503.848324</v>
      </c>
      <c r="I22" t="s">
        <v>14</v>
      </c>
    </row>
    <row r="23" spans="1:16" x14ac:dyDescent="0.25">
      <c r="A23" s="7" t="s">
        <v>16</v>
      </c>
      <c r="B23" s="18">
        <v>365000000</v>
      </c>
    </row>
    <row r="24" spans="1:16" x14ac:dyDescent="0.25">
      <c r="A24" s="7" t="s">
        <v>17</v>
      </c>
      <c r="B24" s="18">
        <v>2570000000</v>
      </c>
    </row>
    <row r="25" spans="1:16" x14ac:dyDescent="0.25">
      <c r="A25" s="7" t="s">
        <v>18</v>
      </c>
      <c r="B25" s="18">
        <f>B22+B23-B24</f>
        <v>8343512503.8483238</v>
      </c>
    </row>
    <row r="26" spans="1:16" x14ac:dyDescent="0.25">
      <c r="A26" t="s">
        <v>19</v>
      </c>
      <c r="B26" s="19">
        <v>74960000</v>
      </c>
      <c r="I26" t="s">
        <v>12</v>
      </c>
      <c r="J26" s="4">
        <v>8</v>
      </c>
    </row>
    <row r="27" spans="1:16" x14ac:dyDescent="0.25">
      <c r="A27" s="7" t="s">
        <v>20</v>
      </c>
      <c r="B27" s="18">
        <f>B25/B26</f>
        <v>111.3061966895454</v>
      </c>
      <c r="I27" t="s">
        <v>11</v>
      </c>
      <c r="J27" s="1"/>
    </row>
    <row r="28" spans="1:16" x14ac:dyDescent="0.25">
      <c r="A28" s="12" t="s">
        <v>32</v>
      </c>
      <c r="B28" s="18">
        <v>67.099999999999994</v>
      </c>
      <c r="I28" t="s">
        <v>13</v>
      </c>
      <c r="J28" s="1">
        <f>O21*J26</f>
        <v>11386363426.648655</v>
      </c>
    </row>
    <row r="29" spans="1:16" x14ac:dyDescent="0.25">
      <c r="A29" s="7" t="s">
        <v>33</v>
      </c>
      <c r="B29" s="23">
        <f>B27/B28-1</f>
        <v>0.65881068091721917</v>
      </c>
    </row>
    <row r="34" spans="2:15" x14ac:dyDescent="0.25">
      <c r="B34" s="14"/>
      <c r="C34" s="14"/>
      <c r="D34" s="7"/>
      <c r="E34" s="14"/>
      <c r="F34" s="14"/>
      <c r="G34" s="14"/>
      <c r="H34" s="14"/>
      <c r="I34" s="14"/>
      <c r="J34" s="15"/>
      <c r="K34" s="14"/>
      <c r="L34" s="14"/>
      <c r="M34" s="14"/>
      <c r="N34" s="14"/>
      <c r="O34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7D02C-8257-424B-A204-0C90EF0FBBFD}">
  <dimension ref="A4:M18"/>
  <sheetViews>
    <sheetView workbookViewId="0">
      <selection activeCell="B15" sqref="B15"/>
    </sheetView>
  </sheetViews>
  <sheetFormatPr defaultRowHeight="15" x14ac:dyDescent="0.25"/>
  <cols>
    <col min="1" max="1" width="30.7109375" customWidth="1"/>
    <col min="2" max="2" width="12.140625" bestFit="1" customWidth="1"/>
  </cols>
  <sheetData>
    <row r="4" spans="1:13" x14ac:dyDescent="0.25">
      <c r="A4" s="7" t="s">
        <v>21</v>
      </c>
      <c r="B4" s="10">
        <f>(B7+B6)*B5</f>
        <v>0.11040459999999998</v>
      </c>
      <c r="C4" s="9"/>
    </row>
    <row r="5" spans="1:13" x14ac:dyDescent="0.25">
      <c r="A5" t="s">
        <v>22</v>
      </c>
      <c r="B5" s="22">
        <v>4.5999999999999999E-2</v>
      </c>
      <c r="D5" t="s">
        <v>31</v>
      </c>
    </row>
    <row r="6" spans="1:13" x14ac:dyDescent="0.25">
      <c r="A6" t="s">
        <v>23</v>
      </c>
      <c r="B6" s="8">
        <v>2.36</v>
      </c>
    </row>
    <row r="7" spans="1:13" x14ac:dyDescent="0.25">
      <c r="A7" t="s">
        <v>24</v>
      </c>
      <c r="B7" s="22">
        <v>4.0099999999999997E-2</v>
      </c>
      <c r="D7" t="s">
        <v>31</v>
      </c>
    </row>
    <row r="9" spans="1:13" x14ac:dyDescent="0.25">
      <c r="A9" s="7" t="s">
        <v>25</v>
      </c>
      <c r="B9" s="2">
        <v>4.4999999999999998E-2</v>
      </c>
    </row>
    <row r="10" spans="1:13" x14ac:dyDescent="0.25">
      <c r="A10" t="s">
        <v>29</v>
      </c>
      <c r="B10" s="2"/>
      <c r="L10" s="9"/>
      <c r="M10" s="4"/>
    </row>
    <row r="11" spans="1:13" x14ac:dyDescent="0.25">
      <c r="A11" t="s">
        <v>30</v>
      </c>
      <c r="B11" s="2"/>
      <c r="L11" s="2"/>
    </row>
    <row r="13" spans="1:13" x14ac:dyDescent="0.25">
      <c r="A13" s="7" t="s">
        <v>26</v>
      </c>
      <c r="B13" s="3">
        <f>B4*B14+(B9*B15)*(1-26%)</f>
        <v>8.7273219999999985E-2</v>
      </c>
    </row>
    <row r="14" spans="1:13" x14ac:dyDescent="0.25">
      <c r="A14" t="s">
        <v>27</v>
      </c>
      <c r="B14" s="2">
        <v>0.7</v>
      </c>
    </row>
    <row r="15" spans="1:13" x14ac:dyDescent="0.25">
      <c r="A15" t="s">
        <v>28</v>
      </c>
      <c r="B15" s="2">
        <f>1-B14</f>
        <v>0.30000000000000004</v>
      </c>
    </row>
    <row r="16" spans="1:13" x14ac:dyDescent="0.25">
      <c r="E16" s="11"/>
      <c r="F16" s="3"/>
    </row>
    <row r="17" spans="6:6" x14ac:dyDescent="0.25">
      <c r="F17" s="3"/>
    </row>
    <row r="18" spans="6:6" x14ac:dyDescent="0.25">
      <c r="F18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EE5AC-92D0-404E-B814-36062D1B52F9}">
  <dimension ref="A1:M19"/>
  <sheetViews>
    <sheetView workbookViewId="0">
      <selection activeCell="K16" sqref="K16"/>
    </sheetView>
  </sheetViews>
  <sheetFormatPr defaultColWidth="15.7109375" defaultRowHeight="15" x14ac:dyDescent="0.25"/>
  <cols>
    <col min="1" max="1" width="20.7109375" customWidth="1"/>
    <col min="3" max="3" width="18.7109375" bestFit="1" customWidth="1"/>
    <col min="4" max="4" width="17.7109375" bestFit="1" customWidth="1"/>
    <col min="5" max="6" width="18.7109375" bestFit="1" customWidth="1"/>
    <col min="7" max="8" width="16" bestFit="1" customWidth="1"/>
  </cols>
  <sheetData>
    <row r="1" spans="1:13" x14ac:dyDescent="0.25">
      <c r="A1" s="7" t="s">
        <v>34</v>
      </c>
      <c r="B1" s="7" t="s">
        <v>36</v>
      </c>
      <c r="C1" s="7" t="s">
        <v>35</v>
      </c>
      <c r="D1" s="7" t="s">
        <v>39</v>
      </c>
      <c r="E1" s="7" t="s">
        <v>40</v>
      </c>
      <c r="F1" s="7" t="s">
        <v>41</v>
      </c>
      <c r="G1" s="7" t="s">
        <v>4</v>
      </c>
      <c r="H1" s="7" t="s">
        <v>42</v>
      </c>
      <c r="I1" s="7" t="s">
        <v>43</v>
      </c>
      <c r="J1" s="7" t="s">
        <v>44</v>
      </c>
      <c r="K1" s="7" t="s">
        <v>45</v>
      </c>
      <c r="L1" s="7" t="s">
        <v>46</v>
      </c>
    </row>
    <row r="2" spans="1:13" x14ac:dyDescent="0.25">
      <c r="A2" t="s">
        <v>50</v>
      </c>
      <c r="B2" s="1">
        <v>52.07</v>
      </c>
      <c r="C2" s="1">
        <v>2180000000</v>
      </c>
      <c r="D2" s="1">
        <f>C2+850000000-85000000</f>
        <v>2945000000</v>
      </c>
      <c r="E2" s="1">
        <v>1460000000</v>
      </c>
      <c r="F2" s="1">
        <v>224690000</v>
      </c>
      <c r="G2" s="1">
        <v>164230000</v>
      </c>
      <c r="H2" s="1">
        <v>120000000</v>
      </c>
      <c r="I2">
        <f>D2/E2</f>
        <v>2.0171232876712328</v>
      </c>
      <c r="J2">
        <f>D2/F2</f>
        <v>13.106947349681784</v>
      </c>
      <c r="K2">
        <f>D2/G2</f>
        <v>17.9321683005541</v>
      </c>
      <c r="L2">
        <f>C2/H2</f>
        <v>18.166666666666668</v>
      </c>
    </row>
    <row r="3" spans="1:13" x14ac:dyDescent="0.25">
      <c r="A3" t="s">
        <v>51</v>
      </c>
      <c r="B3" s="1">
        <v>123.06</v>
      </c>
      <c r="C3" s="1">
        <v>3120000000</v>
      </c>
      <c r="D3" s="1">
        <f>C3+1050000000-66000000</f>
        <v>4104000000</v>
      </c>
      <c r="E3" s="1">
        <v>3780000000</v>
      </c>
      <c r="F3" s="1">
        <v>225200000</v>
      </c>
      <c r="G3" s="1">
        <v>123430000</v>
      </c>
      <c r="H3" s="1">
        <v>65000000</v>
      </c>
      <c r="I3">
        <f t="shared" ref="I3:I6" si="0">D3/E3</f>
        <v>1.0857142857142856</v>
      </c>
      <c r="J3">
        <f t="shared" ref="J3:J6" si="1">D3/F3</f>
        <v>18.223801065719361</v>
      </c>
      <c r="K3">
        <f t="shared" ref="K3:K6" si="2">D3/G3</f>
        <v>33.249615166491125</v>
      </c>
      <c r="L3">
        <f t="shared" ref="L3:L6" si="3">C3/H3</f>
        <v>48</v>
      </c>
    </row>
    <row r="4" spans="1:13" x14ac:dyDescent="0.25">
      <c r="A4" t="s">
        <v>52</v>
      </c>
      <c r="B4" s="1">
        <v>100.12</v>
      </c>
      <c r="C4" s="1">
        <v>5650000000</v>
      </c>
      <c r="D4" s="1">
        <f>C4+83000000+1970000000-367800000</f>
        <v>7335200000</v>
      </c>
      <c r="E4" s="1">
        <v>8930000000</v>
      </c>
      <c r="F4" s="1">
        <v>888000000</v>
      </c>
      <c r="G4" s="1">
        <v>629000000</v>
      </c>
      <c r="H4" s="1">
        <v>502000000</v>
      </c>
      <c r="I4">
        <f t="shared" si="0"/>
        <v>0.82141097424412091</v>
      </c>
      <c r="J4">
        <f t="shared" si="1"/>
        <v>8.2603603603603606</v>
      </c>
      <c r="K4">
        <f t="shared" si="2"/>
        <v>11.661685214626392</v>
      </c>
      <c r="L4">
        <f t="shared" si="3"/>
        <v>11.254980079681275</v>
      </c>
    </row>
    <row r="5" spans="1:13" x14ac:dyDescent="0.25">
      <c r="A5" t="s">
        <v>53</v>
      </c>
      <c r="B5" s="1">
        <v>117.34</v>
      </c>
      <c r="C5" s="1">
        <v>6260000000</v>
      </c>
      <c r="D5" s="1">
        <f>C5+1500000000-441000000</f>
        <v>7319000000</v>
      </c>
      <c r="E5" s="1">
        <v>11120000000</v>
      </c>
      <c r="F5" s="1">
        <v>820000000</v>
      </c>
      <c r="G5" s="1">
        <v>585000000</v>
      </c>
      <c r="H5" s="1">
        <v>280000000</v>
      </c>
      <c r="I5">
        <f t="shared" si="0"/>
        <v>0.65818345323741012</v>
      </c>
      <c r="J5">
        <f t="shared" si="1"/>
        <v>8.9256097560975611</v>
      </c>
      <c r="K5">
        <f t="shared" si="2"/>
        <v>12.511111111111111</v>
      </c>
      <c r="L5">
        <f t="shared" si="3"/>
        <v>22.357142857142858</v>
      </c>
    </row>
    <row r="6" spans="1:13" x14ac:dyDescent="0.25">
      <c r="A6" t="s">
        <v>54</v>
      </c>
      <c r="B6" s="1">
        <v>67.099999999999994</v>
      </c>
      <c r="C6" s="1">
        <v>5030000000</v>
      </c>
      <c r="D6" s="1">
        <f>C6+2800000000</f>
        <v>7830000000</v>
      </c>
      <c r="E6" s="1">
        <v>7710000000</v>
      </c>
      <c r="F6" s="1">
        <v>1230000000</v>
      </c>
      <c r="G6" s="1">
        <v>966000000</v>
      </c>
      <c r="H6" s="1">
        <v>553000000</v>
      </c>
      <c r="I6">
        <f t="shared" si="0"/>
        <v>1.0155642023346303</v>
      </c>
      <c r="J6">
        <f t="shared" si="1"/>
        <v>6.3658536585365857</v>
      </c>
      <c r="K6">
        <f t="shared" si="2"/>
        <v>8.1055900621118013</v>
      </c>
      <c r="L6">
        <f t="shared" si="3"/>
        <v>9.0958408679927665</v>
      </c>
    </row>
    <row r="15" spans="1:13" x14ac:dyDescent="0.25">
      <c r="A15" s="7" t="s">
        <v>37</v>
      </c>
      <c r="I15" s="13">
        <f>AVERAGE(I2:I14)</f>
        <v>1.1195992406403361</v>
      </c>
      <c r="J15" s="13">
        <f t="shared" ref="J15:L15" si="4">AVERAGE(J2:J14)</f>
        <v>10.976514438079132</v>
      </c>
      <c r="K15" s="13">
        <f t="shared" si="4"/>
        <v>16.692033970978905</v>
      </c>
      <c r="L15" s="13">
        <f t="shared" si="4"/>
        <v>21.774926094296713</v>
      </c>
    </row>
    <row r="16" spans="1:13" x14ac:dyDescent="0.25">
      <c r="A16" s="7" t="s">
        <v>38</v>
      </c>
      <c r="I16" s="24">
        <f>I15/I6-1</f>
        <v>0.10244063158837702</v>
      </c>
      <c r="J16" s="24">
        <f>J15/J6-1</f>
        <v>0.72428004582852257</v>
      </c>
      <c r="K16" s="24">
        <f t="shared" ref="K16:L16" si="5">K15/K6-1</f>
        <v>1.0593237312855202</v>
      </c>
      <c r="L16" s="24">
        <f t="shared" si="5"/>
        <v>1.3939431670270541</v>
      </c>
      <c r="M16" s="3">
        <f>AVERAGE(I16:L16)</f>
        <v>0.81999689393236852</v>
      </c>
    </row>
    <row r="19" spans="1:12" x14ac:dyDescent="0.25">
      <c r="A19" t="s">
        <v>47</v>
      </c>
      <c r="I19" s="13"/>
      <c r="J19" s="13"/>
      <c r="K19" s="13"/>
      <c r="L19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37D86-A501-46EB-9463-7F18DC6294A5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FCF</vt:lpstr>
      <vt:lpstr>WACC</vt:lpstr>
      <vt:lpstr>CCA</vt:lpstr>
      <vt:lpstr>ABOUT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furkan panayir</dc:creator>
  <cp:lastModifiedBy>furkan panayir</cp:lastModifiedBy>
  <dcterms:created xsi:type="dcterms:W3CDTF">2015-06-05T18:17:20Z</dcterms:created>
  <dcterms:modified xsi:type="dcterms:W3CDTF">2024-04-10T20:58:14Z</dcterms:modified>
</cp:coreProperties>
</file>