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furka\Desktop\DOSYALARIM\Az kullandıklarım\Hisse ve Şirket değerleme\2023-2024 OCAK\DONE\"/>
    </mc:Choice>
  </mc:AlternateContent>
  <xr:revisionPtr revIDLastSave="0" documentId="13_ncr:1_{CAE67FE8-FF07-42A1-9E62-173646CC75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CF" sheetId="1" r:id="rId1"/>
    <sheet name="WACC" sheetId="2" r:id="rId2"/>
    <sheet name="CCA" sheetId="3" r:id="rId3"/>
    <sheet name="ABOUT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3" l="1"/>
  <c r="I16" i="3"/>
  <c r="L15" i="3"/>
  <c r="J15" i="3"/>
  <c r="K15" i="3"/>
  <c r="I15" i="3"/>
  <c r="L3" i="3"/>
  <c r="L4" i="3"/>
  <c r="L5" i="3"/>
  <c r="L6" i="3"/>
  <c r="L2" i="3"/>
  <c r="K5" i="3"/>
  <c r="K2" i="3"/>
  <c r="J5" i="3"/>
  <c r="J2" i="3"/>
  <c r="I3" i="3"/>
  <c r="I4" i="3"/>
  <c r="I5" i="3"/>
  <c r="I6" i="3"/>
  <c r="I2" i="3"/>
  <c r="D6" i="3"/>
  <c r="D5" i="3"/>
  <c r="D4" i="3"/>
  <c r="D3" i="3"/>
  <c r="D2" i="3"/>
  <c r="J28" i="1" l="1"/>
  <c r="P21" i="1" s="1"/>
  <c r="B22" i="1" s="1"/>
  <c r="B25" i="1" s="1"/>
  <c r="B27" i="1" s="1"/>
  <c r="B29" i="1" s="1"/>
  <c r="B13" i="2"/>
  <c r="B9" i="2"/>
  <c r="B4" i="2" l="1"/>
  <c r="O21" i="1" l="1"/>
  <c r="L21" i="1"/>
  <c r="M21" i="1"/>
  <c r="N21" i="1"/>
  <c r="K21" i="1"/>
  <c r="O9" i="1"/>
  <c r="L9" i="1"/>
  <c r="M9" i="1"/>
  <c r="N9" i="1"/>
  <c r="K9" i="1"/>
  <c r="M8" i="1"/>
  <c r="N8" i="1"/>
  <c r="O8" i="1"/>
  <c r="L8" i="1"/>
  <c r="K8" i="1"/>
  <c r="J7" i="1"/>
  <c r="E7" i="1"/>
  <c r="F7" i="1"/>
  <c r="G7" i="1"/>
  <c r="H7" i="1"/>
  <c r="I7" i="1"/>
  <c r="D7" i="1"/>
  <c r="K2" i="1"/>
  <c r="M2" i="1"/>
  <c r="N2" i="1" s="1"/>
  <c r="O2" i="1" s="1"/>
  <c r="L2" i="1"/>
  <c r="J3" i="1"/>
  <c r="H3" i="1"/>
  <c r="D3" i="1"/>
  <c r="E3" i="1"/>
  <c r="F3" i="1"/>
  <c r="G3" i="1"/>
  <c r="C3" i="1"/>
  <c r="I15" i="1"/>
  <c r="J10" i="1"/>
  <c r="D10" i="1"/>
  <c r="E10" i="1"/>
  <c r="F10" i="1"/>
  <c r="G10" i="1"/>
  <c r="H10" i="1"/>
  <c r="I10" i="1"/>
  <c r="C10" i="1"/>
</calcChain>
</file>

<file path=xl/sharedStrings.xml><?xml version="1.0" encoding="utf-8"?>
<sst xmlns="http://schemas.openxmlformats.org/spreadsheetml/2006/main" count="66" uniqueCount="60">
  <si>
    <t>REVENUE</t>
  </si>
  <si>
    <t xml:space="preserve">Average </t>
  </si>
  <si>
    <t>COGS</t>
  </si>
  <si>
    <t>TOTAL OPERATİNG EXPENSES</t>
  </si>
  <si>
    <t>EBIT</t>
  </si>
  <si>
    <t>INCOME TAX</t>
  </si>
  <si>
    <t>TAX RATE</t>
  </si>
  <si>
    <t>DEPRECİATİON&amp;AMORTİZATİON</t>
  </si>
  <si>
    <t>(NET CAPİTAL EXPENDİTURE)</t>
  </si>
  <si>
    <t>(CHANGE IN WORKING CAPITAL)</t>
  </si>
  <si>
    <t>FCF</t>
  </si>
  <si>
    <t>EV/EBİTDA</t>
  </si>
  <si>
    <t>EV/EBİTDA multiple</t>
  </si>
  <si>
    <t>TERMİNAL VALUE</t>
  </si>
  <si>
    <t>FCF=EBIT*(1-TAX RATE)+DEPRECİATİON&amp;AMORTİZATİON-NET CAPEX-INCREASE IN WORKING CAPITAL</t>
  </si>
  <si>
    <t>NPV OF FCF (ENTERPRİSE VALUE)</t>
  </si>
  <si>
    <t>CASH AND CASH EQUİVALENTS</t>
  </si>
  <si>
    <t>(DEBT)</t>
  </si>
  <si>
    <t>EQUİTY VALUE</t>
  </si>
  <si>
    <t>SHARES OUTSTANDING</t>
  </si>
  <si>
    <t>FAIR VALUE OF THE COMPANY</t>
  </si>
  <si>
    <t>COST OF EQUITY</t>
  </si>
  <si>
    <t>EQUITY RISK PREMIUM</t>
  </si>
  <si>
    <t>(X)BETA</t>
  </si>
  <si>
    <t>(+)RISK FREE RATE</t>
  </si>
  <si>
    <t>COST OF DEBT</t>
  </si>
  <si>
    <t>WACC</t>
  </si>
  <si>
    <t>PERCENT OF EQUITY</t>
  </si>
  <si>
    <t>PERCENT OF DEBT</t>
  </si>
  <si>
    <t>AVERAGE YIELD ON DEBT</t>
  </si>
  <si>
    <t>(X)TAX SHIELD</t>
  </si>
  <si>
    <t>FOR USA</t>
  </si>
  <si>
    <t>MARKET PRICE 8TH OF FEBRUARY</t>
  </si>
  <si>
    <t>Growth Forecast</t>
  </si>
  <si>
    <t>COMPANY</t>
  </si>
  <si>
    <t>MARKET CAP</t>
  </si>
  <si>
    <t>PRICE</t>
  </si>
  <si>
    <t>AVERAGE</t>
  </si>
  <si>
    <t>DIFFERENCE</t>
  </si>
  <si>
    <t>EV</t>
  </si>
  <si>
    <t>SALES</t>
  </si>
  <si>
    <t>EBITDA</t>
  </si>
  <si>
    <t>EARNINGS</t>
  </si>
  <si>
    <t>EV/SALES</t>
  </si>
  <si>
    <t>EV/EBITDA</t>
  </si>
  <si>
    <t>EV/EBIT</t>
  </si>
  <si>
    <t>P/E</t>
  </si>
  <si>
    <t>EXİT</t>
  </si>
  <si>
    <t>OPERATING EXPENSES</t>
  </si>
  <si>
    <t>Discover Financial Services</t>
  </si>
  <si>
    <t>-------------</t>
  </si>
  <si>
    <t>--------------</t>
  </si>
  <si>
    <t>------------------</t>
  </si>
  <si>
    <t>American Express</t>
  </si>
  <si>
    <t>Ally Financial Inc.</t>
  </si>
  <si>
    <t>Capital One</t>
  </si>
  <si>
    <t>Synchrony Financial</t>
  </si>
  <si>
    <t>Discover Financial</t>
  </si>
  <si>
    <t>-----------</t>
  </si>
  <si>
    <t>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</si>
</sst>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0" applyNumberFormat="1"/>
    <xf numFmtId="9" fontId="0" fillId="0" borderId="0" xfId="1" applyFont="1"/>
    <xf numFmtId="9" fontId="0" fillId="0" borderId="0" xfId="0" applyNumberFormat="1"/>
    <xf numFmtId="2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3" fillId="0" borderId="0" xfId="0" applyFont="1"/>
    <xf numFmtId="2" fontId="0" fillId="0" borderId="0" xfId="0" applyNumberFormat="1" applyAlignment="1">
      <alignment horizontal="center"/>
    </xf>
    <xf numFmtId="10" fontId="0" fillId="0" borderId="0" xfId="0" applyNumberFormat="1"/>
    <xf numFmtId="10" fontId="0" fillId="0" borderId="0" xfId="1" applyNumberFormat="1" applyFont="1"/>
    <xf numFmtId="0" fontId="0" fillId="0" borderId="0" xfId="1" applyNumberFormat="1" applyFont="1"/>
    <xf numFmtId="0" fontId="1" fillId="0" borderId="0" xfId="0" applyFont="1"/>
    <xf numFmtId="0" fontId="0" fillId="3" borderId="0" xfId="0" applyFill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0" fillId="4" borderId="0" xfId="0" applyFill="1" applyAlignment="1">
      <alignment wrapText="1"/>
    </xf>
    <xf numFmtId="0" fontId="3" fillId="0" borderId="0" xfId="0" applyFont="1" applyAlignment="1">
      <alignment horizontal="center"/>
    </xf>
    <xf numFmtId="164" fontId="0" fillId="5" borderId="0" xfId="0" applyNumberFormat="1" applyFill="1"/>
    <xf numFmtId="2" fontId="0" fillId="6" borderId="0" xfId="0" applyNumberFormat="1" applyFill="1"/>
    <xf numFmtId="9" fontId="3" fillId="0" borderId="0" xfId="1" applyFont="1"/>
    <xf numFmtId="164" fontId="0" fillId="0" borderId="0" xfId="0" quotePrefix="1" applyNumberFormat="1"/>
    <xf numFmtId="9" fontId="0" fillId="0" borderId="0" xfId="1" applyFont="1" applyAlignment="1">
      <alignment horizontal="center"/>
    </xf>
    <xf numFmtId="9" fontId="0" fillId="5" borderId="0" xfId="1" applyFont="1" applyFill="1"/>
    <xf numFmtId="9" fontId="0" fillId="3" borderId="0" xfId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9525</xdr:rowOff>
    </xdr:from>
    <xdr:to>
      <xdr:col>29</xdr:col>
      <xdr:colOff>28575</xdr:colOff>
      <xdr:row>36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341F65-C126-7C24-84B5-93B049CD85C3}"/>
            </a:ext>
          </a:extLst>
        </xdr:cNvPr>
        <xdr:cNvSpPr txBox="1"/>
      </xdr:nvSpPr>
      <xdr:spPr>
        <a:xfrm>
          <a:off x="152400" y="200025"/>
          <a:ext cx="17554575" cy="6838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r-TR" sz="2400">
              <a:solidFill>
                <a:schemeClr val="accent1">
                  <a:lumMod val="75000"/>
                </a:schemeClr>
              </a:solidFill>
            </a:rPr>
            <a:t>Financial</a:t>
          </a:r>
          <a:r>
            <a:rPr lang="tr-TR" sz="2400" baseline="0">
              <a:solidFill>
                <a:schemeClr val="accent1">
                  <a:lumMod val="75000"/>
                </a:schemeClr>
              </a:solidFill>
            </a:rPr>
            <a:t> companies are mostly undervalued according to their FCF valuations, because of their risks involved.</a:t>
          </a:r>
        </a:p>
        <a:p>
          <a:r>
            <a:rPr lang="tr-TR" sz="2400" baseline="0">
              <a:solidFill>
                <a:schemeClr val="accent1">
                  <a:lumMod val="75000"/>
                </a:schemeClr>
              </a:solidFill>
            </a:rPr>
            <a:t>Comparable companies analysis should be more important for the valuation, valuation should be estimated as bank valuations.</a:t>
          </a:r>
        </a:p>
        <a:p>
          <a:r>
            <a:rPr lang="tr-TR" sz="2400" baseline="0">
              <a:solidFill>
                <a:schemeClr val="accent1">
                  <a:lumMod val="75000"/>
                </a:schemeClr>
              </a:solidFill>
            </a:rPr>
            <a:t>According to CCA Company is fairvalued moslty, but has better p/e ratios than compared companies.</a:t>
          </a:r>
        </a:p>
        <a:p>
          <a:endParaRPr lang="en-US" sz="2400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workbookViewId="0">
      <selection activeCell="C27" sqref="C27"/>
    </sheetView>
  </sheetViews>
  <sheetFormatPr defaultColWidth="18.7109375" defaultRowHeight="15" x14ac:dyDescent="0.25"/>
  <cols>
    <col min="1" max="1" width="30.7109375" customWidth="1"/>
    <col min="2" max="3" width="19.7109375" bestFit="1" customWidth="1"/>
    <col min="10" max="10" width="19.7109375" bestFit="1" customWidth="1"/>
    <col min="16" max="16" width="19.7109375" bestFit="1" customWidth="1"/>
  </cols>
  <sheetData>
    <row r="1" spans="1:16" x14ac:dyDescent="0.25">
      <c r="A1" s="16" t="s">
        <v>49</v>
      </c>
      <c r="B1" s="14">
        <v>2016</v>
      </c>
      <c r="C1" s="14">
        <v>2017</v>
      </c>
      <c r="D1" s="7">
        <v>2018</v>
      </c>
      <c r="E1" s="14">
        <v>2019</v>
      </c>
      <c r="F1" s="14">
        <v>2020</v>
      </c>
      <c r="G1" s="14">
        <v>2021</v>
      </c>
      <c r="H1" s="14">
        <v>2022</v>
      </c>
      <c r="I1" s="14">
        <v>2023</v>
      </c>
      <c r="J1" s="15" t="s">
        <v>1</v>
      </c>
      <c r="K1" s="14">
        <v>2024</v>
      </c>
      <c r="L1" s="14">
        <v>2025</v>
      </c>
      <c r="M1" s="14">
        <v>2026</v>
      </c>
      <c r="N1" s="14">
        <v>2027</v>
      </c>
      <c r="O1" s="14">
        <v>2028</v>
      </c>
      <c r="P1" s="17" t="s">
        <v>47</v>
      </c>
    </row>
    <row r="2" spans="1:16" x14ac:dyDescent="0.25">
      <c r="A2" s="7" t="s">
        <v>0</v>
      </c>
      <c r="B2" s="1"/>
      <c r="C2" s="1">
        <v>11550000000</v>
      </c>
      <c r="D2" s="1">
        <v>12850000000</v>
      </c>
      <c r="E2" s="1">
        <v>13990000000</v>
      </c>
      <c r="F2" s="1">
        <v>12950000000</v>
      </c>
      <c r="G2" s="1">
        <v>12800000000</v>
      </c>
      <c r="H2" s="1">
        <v>15160000000</v>
      </c>
      <c r="I2" s="1">
        <v>20610000000</v>
      </c>
      <c r="J2" s="1"/>
      <c r="K2" s="1">
        <f>I2+I2*J3</f>
        <v>22874427300.624245</v>
      </c>
      <c r="L2" s="1">
        <f>K2+K2*$J$3</f>
        <v>25387647953.980774</v>
      </c>
      <c r="M2" s="1">
        <f t="shared" ref="M2:O2" si="0">L2+L2*$J$3</f>
        <v>28176996965.413635</v>
      </c>
      <c r="N2" s="1">
        <f t="shared" si="0"/>
        <v>31272812646.058422</v>
      </c>
      <c r="O2" s="1">
        <f t="shared" si="0"/>
        <v>34708766587.011444</v>
      </c>
    </row>
    <row r="3" spans="1:16" x14ac:dyDescent="0.25">
      <c r="A3" s="20"/>
      <c r="B3" s="2"/>
      <c r="C3" s="2">
        <f>D2/C2-1</f>
        <v>0.11255411255411252</v>
      </c>
      <c r="D3" s="2">
        <f t="shared" ref="D3:G3" si="1">E2/D2-1</f>
        <v>8.8715953307392903E-2</v>
      </c>
      <c r="E3" s="2">
        <f t="shared" si="1"/>
        <v>-7.433881343817017E-2</v>
      </c>
      <c r="F3" s="2">
        <f t="shared" si="1"/>
        <v>-1.158301158301156E-2</v>
      </c>
      <c r="G3" s="2">
        <f t="shared" si="1"/>
        <v>0.18437499999999996</v>
      </c>
      <c r="H3" s="2">
        <f>I2/H2-1</f>
        <v>0.35949868073878632</v>
      </c>
      <c r="I3" s="2"/>
      <c r="J3" s="2">
        <f>AVERAGE(C3:I3)</f>
        <v>0.109870320263185</v>
      </c>
      <c r="K3" s="2"/>
      <c r="L3" s="2"/>
      <c r="M3" s="2"/>
      <c r="N3" s="2"/>
      <c r="O3" s="2"/>
    </row>
    <row r="4" spans="1:16" x14ac:dyDescent="0.25">
      <c r="A4" s="7" t="s">
        <v>2</v>
      </c>
      <c r="B4" s="1"/>
      <c r="C4" s="1">
        <v>1650000000</v>
      </c>
      <c r="D4" s="1">
        <v>2140000000</v>
      </c>
      <c r="E4" s="1">
        <v>2530000000</v>
      </c>
      <c r="F4" s="1">
        <v>1870000000</v>
      </c>
      <c r="G4" s="1">
        <v>1130000000</v>
      </c>
      <c r="H4" s="1">
        <v>1870000000</v>
      </c>
      <c r="I4" s="1">
        <v>4750000000</v>
      </c>
      <c r="J4" s="1"/>
      <c r="K4" s="1"/>
      <c r="L4" s="1"/>
      <c r="M4" s="1"/>
      <c r="N4" s="1"/>
      <c r="O4" s="1"/>
      <c r="P4" s="1"/>
    </row>
    <row r="5" spans="1:16" x14ac:dyDescent="0.25">
      <c r="A5" s="7" t="s">
        <v>48</v>
      </c>
      <c r="B5" s="1"/>
      <c r="C5" s="21" t="s">
        <v>51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5">
      <c r="A6" s="7" t="s">
        <v>3</v>
      </c>
      <c r="B6" s="1"/>
      <c r="C6" s="21" t="s">
        <v>50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5">
      <c r="A7" s="20"/>
      <c r="B7" s="2"/>
      <c r="C7" s="2"/>
      <c r="D7" s="2">
        <f>D8/C8-1</f>
        <v>1.6949152542372836E-2</v>
      </c>
      <c r="E7" s="2">
        <f t="shared" ref="E7:I7" si="2">E8/D8-1</f>
        <v>6.6666666666666652E-2</v>
      </c>
      <c r="F7" s="2">
        <f t="shared" si="2"/>
        <v>-0.625</v>
      </c>
      <c r="G7" s="2">
        <f t="shared" si="2"/>
        <v>3.9027777777777777</v>
      </c>
      <c r="H7" s="2">
        <f t="shared" si="2"/>
        <v>-0.1898016997167139</v>
      </c>
      <c r="I7" s="2">
        <f t="shared" si="2"/>
        <v>-0.33041958041958042</v>
      </c>
      <c r="J7" s="2">
        <f>AVERAGE(D7:I7)-27%</f>
        <v>0.20352871947508705</v>
      </c>
      <c r="K7" s="2"/>
      <c r="L7" s="2"/>
      <c r="M7" s="2"/>
      <c r="N7" s="2"/>
      <c r="O7" s="2"/>
    </row>
    <row r="8" spans="1:16" x14ac:dyDescent="0.25">
      <c r="A8" s="7" t="s">
        <v>4</v>
      </c>
      <c r="B8" s="1"/>
      <c r="C8" s="1">
        <v>3540000000</v>
      </c>
      <c r="D8" s="1">
        <v>3600000000</v>
      </c>
      <c r="E8" s="1">
        <v>3840000000</v>
      </c>
      <c r="F8" s="1">
        <v>1440000000</v>
      </c>
      <c r="G8" s="1">
        <v>7060000000</v>
      </c>
      <c r="H8" s="1">
        <v>5720000000</v>
      </c>
      <c r="I8" s="1">
        <v>3830000000</v>
      </c>
      <c r="J8" s="1"/>
      <c r="K8" s="1">
        <f>I8+I8*J7</f>
        <v>4609514995.5895834</v>
      </c>
      <c r="L8" s="1">
        <f>K8+K8*$J$10</f>
        <v>5750655426.819169</v>
      </c>
      <c r="M8" s="1">
        <f t="shared" ref="M8:O8" si="3">L8+L8*$J$10</f>
        <v>7174298786.2381201</v>
      </c>
      <c r="N8" s="1">
        <f t="shared" si="3"/>
        <v>8950382044.1363869</v>
      </c>
      <c r="O8" s="1">
        <f t="shared" si="3"/>
        <v>11166155902.186058</v>
      </c>
      <c r="P8" s="1"/>
    </row>
    <row r="9" spans="1:16" x14ac:dyDescent="0.25">
      <c r="A9" s="7" t="s">
        <v>5</v>
      </c>
      <c r="B9" s="1"/>
      <c r="C9" s="1">
        <v>1440000000</v>
      </c>
      <c r="D9" s="1">
        <v>855000000</v>
      </c>
      <c r="E9" s="1">
        <v>878000000</v>
      </c>
      <c r="F9" s="1">
        <v>294000000</v>
      </c>
      <c r="G9" s="1">
        <v>1620000000</v>
      </c>
      <c r="H9" s="1">
        <v>1340000000</v>
      </c>
      <c r="I9" s="1">
        <v>886000000</v>
      </c>
      <c r="J9" s="1"/>
      <c r="K9" s="1">
        <f>K8*$J$10</f>
        <v>1141140431.2295859</v>
      </c>
      <c r="L9" s="1">
        <f t="shared" ref="L9:N9" si="4">L8*$J$10</f>
        <v>1423643359.418951</v>
      </c>
      <c r="M9" s="1">
        <f t="shared" si="4"/>
        <v>1776083257.898267</v>
      </c>
      <c r="N9" s="1">
        <f t="shared" si="4"/>
        <v>2215773858.0496702</v>
      </c>
      <c r="O9" s="1">
        <f>O8*$J$10</f>
        <v>2764315112.0213656</v>
      </c>
      <c r="P9" s="1"/>
    </row>
    <row r="10" spans="1:16" x14ac:dyDescent="0.25">
      <c r="A10" s="7" t="s">
        <v>6</v>
      </c>
      <c r="B10" s="2"/>
      <c r="C10" s="2">
        <f>C9/C8</f>
        <v>0.40677966101694918</v>
      </c>
      <c r="D10" s="2">
        <f t="shared" ref="D10:I10" si="5">D9/D8</f>
        <v>0.23749999999999999</v>
      </c>
      <c r="E10" s="2">
        <f t="shared" si="5"/>
        <v>0.22864583333333333</v>
      </c>
      <c r="F10" s="2">
        <f t="shared" si="5"/>
        <v>0.20416666666666666</v>
      </c>
      <c r="G10" s="2">
        <f t="shared" si="5"/>
        <v>0.22946175637393768</v>
      </c>
      <c r="H10" s="2">
        <f t="shared" si="5"/>
        <v>0.23426573426573427</v>
      </c>
      <c r="I10" s="2">
        <f t="shared" si="5"/>
        <v>0.23133159268929504</v>
      </c>
      <c r="J10" s="2">
        <f>AVERAGE(D10:I10)+2%</f>
        <v>0.24756193055482784</v>
      </c>
      <c r="K10" s="1"/>
      <c r="L10" s="1"/>
      <c r="M10" s="1"/>
      <c r="N10" s="1"/>
      <c r="O10" s="1"/>
      <c r="P10" s="1"/>
    </row>
    <row r="11" spans="1:16" x14ac:dyDescent="0.25">
      <c r="A11" s="7"/>
    </row>
    <row r="12" spans="1:16" x14ac:dyDescent="0.25">
      <c r="A12" s="7"/>
      <c r="J12" s="2"/>
    </row>
    <row r="13" spans="1:16" x14ac:dyDescent="0.25">
      <c r="A13" s="7" t="s">
        <v>7</v>
      </c>
      <c r="B13" s="1"/>
      <c r="C13" s="21" t="s">
        <v>52</v>
      </c>
      <c r="D13" s="1"/>
      <c r="E13" s="1"/>
      <c r="F13" s="1"/>
      <c r="G13" s="1"/>
      <c r="H13" s="1"/>
      <c r="I13" s="1"/>
      <c r="J13" s="2"/>
      <c r="K13" s="1"/>
      <c r="L13" s="1"/>
      <c r="M13" s="1"/>
      <c r="N13" s="1"/>
      <c r="O13" s="1"/>
      <c r="P13" s="1"/>
    </row>
    <row r="14" spans="1:16" x14ac:dyDescent="0.25">
      <c r="A14" s="7" t="s">
        <v>8</v>
      </c>
      <c r="B14" s="1"/>
      <c r="C14" s="1">
        <v>300000000</v>
      </c>
      <c r="D14" s="1">
        <v>300000000</v>
      </c>
      <c r="E14" s="1">
        <v>300000000</v>
      </c>
      <c r="F14" s="1">
        <v>300000000</v>
      </c>
      <c r="G14" s="1">
        <v>300000000</v>
      </c>
      <c r="H14" s="1">
        <v>300000000</v>
      </c>
      <c r="I14" s="1">
        <v>300000000</v>
      </c>
      <c r="J14" s="2"/>
      <c r="K14" s="1"/>
      <c r="L14" s="1"/>
      <c r="M14" s="1"/>
      <c r="N14" s="1"/>
      <c r="O14" s="1"/>
      <c r="P14" s="1"/>
    </row>
    <row r="15" spans="1:16" x14ac:dyDescent="0.25">
      <c r="A15" s="7" t="s">
        <v>9</v>
      </c>
      <c r="B15" s="1"/>
      <c r="C15" s="1">
        <v>53000000</v>
      </c>
      <c r="D15" s="1">
        <v>77000000</v>
      </c>
      <c r="E15" s="1">
        <v>-272000000</v>
      </c>
      <c r="F15" s="1">
        <v>254000000</v>
      </c>
      <c r="G15" s="1">
        <v>576000000</v>
      </c>
      <c r="H15" s="1">
        <v>-204000000</v>
      </c>
      <c r="I15" s="1">
        <f>AVERAGE(C15:H15)</f>
        <v>80666666.666666672</v>
      </c>
      <c r="J15" s="2"/>
      <c r="K15" s="1"/>
      <c r="L15" s="1"/>
      <c r="M15" s="1"/>
      <c r="N15" s="1"/>
      <c r="O15" s="1"/>
      <c r="P15" s="1"/>
    </row>
    <row r="16" spans="1:16" x14ac:dyDescent="0.25">
      <c r="B16" s="1"/>
      <c r="C16" s="1"/>
      <c r="D16" s="1"/>
      <c r="E16" s="1"/>
      <c r="F16" s="1"/>
      <c r="G16" s="1"/>
      <c r="H16" s="1"/>
      <c r="I16" s="1"/>
      <c r="J16" s="2"/>
      <c r="K16" s="1"/>
      <c r="L16" s="1"/>
      <c r="M16" s="1"/>
      <c r="N16" s="1"/>
      <c r="O16" s="1"/>
    </row>
    <row r="17" spans="1:16" x14ac:dyDescent="0.25">
      <c r="B17" s="1"/>
      <c r="C17" s="1"/>
      <c r="D17" s="1"/>
      <c r="E17" s="1"/>
      <c r="F17" s="1"/>
      <c r="G17" s="1"/>
      <c r="H17" s="1"/>
      <c r="I17" s="1"/>
      <c r="J17" s="2"/>
      <c r="K17" s="1"/>
      <c r="L17" s="1"/>
      <c r="M17" s="1"/>
      <c r="N17" s="1"/>
      <c r="O17" s="1"/>
    </row>
    <row r="21" spans="1:16" x14ac:dyDescent="0.25">
      <c r="J21" s="5" t="s">
        <v>10</v>
      </c>
      <c r="K21" s="6">
        <f>K8-K9-$I$14-$I$15</f>
        <v>3087707897.6933312</v>
      </c>
      <c r="L21" s="6">
        <f t="shared" ref="L21:N21" si="6">L8-L9-$I$14-$I$15</f>
        <v>3946345400.7335515</v>
      </c>
      <c r="M21" s="6">
        <f t="shared" si="6"/>
        <v>5017548861.6731863</v>
      </c>
      <c r="N21" s="6">
        <f t="shared" si="6"/>
        <v>6353941519.4200497</v>
      </c>
      <c r="O21" s="6">
        <f>O8-O9-$I$14-$I$15</f>
        <v>8021174123.4980249</v>
      </c>
      <c r="P21" s="6">
        <f>J28</f>
        <v>59923694942.664581</v>
      </c>
    </row>
    <row r="22" spans="1:16" x14ac:dyDescent="0.25">
      <c r="A22" s="7" t="s">
        <v>15</v>
      </c>
      <c r="B22" s="18">
        <f>NPV(FCF!B13,K21:P21)</f>
        <v>86350412745.682724</v>
      </c>
      <c r="I22" t="s">
        <v>14</v>
      </c>
    </row>
    <row r="23" spans="1:16" x14ac:dyDescent="0.25">
      <c r="A23" s="7" t="s">
        <v>16</v>
      </c>
      <c r="B23" s="18">
        <v>13589000000</v>
      </c>
    </row>
    <row r="24" spans="1:16" x14ac:dyDescent="0.25">
      <c r="A24" s="7" t="s">
        <v>17</v>
      </c>
      <c r="B24" s="18">
        <v>25241000000</v>
      </c>
    </row>
    <row r="25" spans="1:16" x14ac:dyDescent="0.25">
      <c r="A25" s="7" t="s">
        <v>18</v>
      </c>
      <c r="B25" s="18">
        <f>B22+B23-B24</f>
        <v>74698412745.682724</v>
      </c>
    </row>
    <row r="26" spans="1:16" x14ac:dyDescent="0.25">
      <c r="A26" t="s">
        <v>19</v>
      </c>
      <c r="B26" s="19">
        <v>250560000</v>
      </c>
      <c r="I26" t="s">
        <v>12</v>
      </c>
      <c r="J26" s="4">
        <v>13</v>
      </c>
    </row>
    <row r="27" spans="1:16" x14ac:dyDescent="0.25">
      <c r="A27" s="7" t="s">
        <v>20</v>
      </c>
      <c r="B27" s="18">
        <f>B25/B26</f>
        <v>298.12584908078992</v>
      </c>
      <c r="I27" t="s">
        <v>11</v>
      </c>
      <c r="J27" s="1"/>
    </row>
    <row r="28" spans="1:16" x14ac:dyDescent="0.25">
      <c r="A28" s="12" t="s">
        <v>32</v>
      </c>
      <c r="B28" s="18">
        <v>128.02000000000001</v>
      </c>
      <c r="C28" s="2"/>
      <c r="I28" t="s">
        <v>13</v>
      </c>
      <c r="J28" s="1">
        <f>K8*J26</f>
        <v>59923694942.664581</v>
      </c>
    </row>
    <row r="29" spans="1:16" x14ac:dyDescent="0.25">
      <c r="A29" s="7" t="s">
        <v>33</v>
      </c>
      <c r="B29" s="23">
        <f>B27/B28-1</f>
        <v>1.3287443296421646</v>
      </c>
    </row>
    <row r="34" spans="2:15" x14ac:dyDescent="0.25">
      <c r="B34" s="14"/>
      <c r="C34" s="14"/>
      <c r="D34" s="7"/>
      <c r="E34" s="14"/>
      <c r="F34" s="14"/>
      <c r="G34" s="14"/>
      <c r="H34" s="14"/>
      <c r="I34" s="14"/>
      <c r="J34" s="15"/>
      <c r="K34" s="14"/>
      <c r="L34" s="14"/>
      <c r="M34" s="14"/>
      <c r="N34" s="14"/>
      <c r="O34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7D02C-8257-424B-A204-0C90EF0FBBFD}">
  <dimension ref="A4:M18"/>
  <sheetViews>
    <sheetView workbookViewId="0">
      <selection activeCell="B13" sqref="B13"/>
    </sheetView>
  </sheetViews>
  <sheetFormatPr defaultRowHeight="15" x14ac:dyDescent="0.25"/>
  <cols>
    <col min="1" max="1" width="30.7109375" customWidth="1"/>
    <col min="2" max="2" width="12.140625" bestFit="1" customWidth="1"/>
  </cols>
  <sheetData>
    <row r="4" spans="1:13" x14ac:dyDescent="0.25">
      <c r="A4" s="7" t="s">
        <v>21</v>
      </c>
      <c r="B4" s="10">
        <f>B7+B6*B5</f>
        <v>0.10679999999999999</v>
      </c>
      <c r="C4" s="9"/>
    </row>
    <row r="5" spans="1:13" x14ac:dyDescent="0.25">
      <c r="A5" t="s">
        <v>22</v>
      </c>
      <c r="B5" s="22">
        <v>4.5999999999999999E-2</v>
      </c>
      <c r="D5" t="s">
        <v>31</v>
      </c>
    </row>
    <row r="6" spans="1:13" x14ac:dyDescent="0.25">
      <c r="A6" t="s">
        <v>23</v>
      </c>
      <c r="B6" s="8">
        <v>1.45</v>
      </c>
    </row>
    <row r="7" spans="1:13" x14ac:dyDescent="0.25">
      <c r="A7" t="s">
        <v>24</v>
      </c>
      <c r="B7" s="22">
        <v>4.0099999999999997E-2</v>
      </c>
      <c r="D7" t="s">
        <v>31</v>
      </c>
    </row>
    <row r="9" spans="1:13" x14ac:dyDescent="0.25">
      <c r="A9" s="7" t="s">
        <v>25</v>
      </c>
      <c r="B9" s="2">
        <f>B10*B11</f>
        <v>5.3600000000000009E-2</v>
      </c>
    </row>
    <row r="10" spans="1:13" x14ac:dyDescent="0.25">
      <c r="A10" t="s">
        <v>29</v>
      </c>
      <c r="B10" s="2">
        <v>6.7000000000000004E-2</v>
      </c>
      <c r="L10" s="9"/>
      <c r="M10" s="4"/>
    </row>
    <row r="11" spans="1:13" x14ac:dyDescent="0.25">
      <c r="A11" t="s">
        <v>30</v>
      </c>
      <c r="B11" s="2">
        <v>0.8</v>
      </c>
      <c r="L11" s="2"/>
    </row>
    <row r="13" spans="1:13" x14ac:dyDescent="0.25">
      <c r="A13" s="7" t="s">
        <v>26</v>
      </c>
      <c r="B13" s="3">
        <f>((B14*B4)+(B9*B15)*(B11))</f>
        <v>4.8632800000000004E-2</v>
      </c>
    </row>
    <row r="14" spans="1:13" x14ac:dyDescent="0.25">
      <c r="A14" t="s">
        <v>27</v>
      </c>
      <c r="B14" s="2">
        <v>0.09</v>
      </c>
    </row>
    <row r="15" spans="1:13" x14ac:dyDescent="0.25">
      <c r="A15" t="s">
        <v>28</v>
      </c>
      <c r="B15" s="2">
        <v>0.91</v>
      </c>
    </row>
    <row r="16" spans="1:13" x14ac:dyDescent="0.25">
      <c r="E16" s="11"/>
      <c r="F16" s="3"/>
    </row>
    <row r="17" spans="6:6" x14ac:dyDescent="0.25">
      <c r="F17" s="3"/>
    </row>
    <row r="18" spans="6:6" x14ac:dyDescent="0.25">
      <c r="F18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EE5AC-92D0-404E-B814-36062D1B52F9}">
  <dimension ref="A1:L19"/>
  <sheetViews>
    <sheetView workbookViewId="0">
      <selection activeCell="L20" sqref="L20"/>
    </sheetView>
  </sheetViews>
  <sheetFormatPr defaultColWidth="15.7109375" defaultRowHeight="15" x14ac:dyDescent="0.25"/>
  <cols>
    <col min="1" max="1" width="20.7109375" customWidth="1"/>
    <col min="3" max="4" width="19.7109375" bestFit="1" customWidth="1"/>
    <col min="5" max="8" width="18.7109375" bestFit="1" customWidth="1"/>
  </cols>
  <sheetData>
    <row r="1" spans="1:12" x14ac:dyDescent="0.25">
      <c r="A1" s="7" t="s">
        <v>34</v>
      </c>
      <c r="B1" s="7" t="s">
        <v>36</v>
      </c>
      <c r="C1" s="7" t="s">
        <v>35</v>
      </c>
      <c r="D1" s="7" t="s">
        <v>39</v>
      </c>
      <c r="E1" s="7" t="s">
        <v>40</v>
      </c>
      <c r="F1" s="7" t="s">
        <v>41</v>
      </c>
      <c r="G1" s="7" t="s">
        <v>4</v>
      </c>
      <c r="H1" s="7" t="s">
        <v>42</v>
      </c>
      <c r="I1" s="7" t="s">
        <v>43</v>
      </c>
      <c r="J1" s="7" t="s">
        <v>44</v>
      </c>
      <c r="K1" s="7" t="s">
        <v>45</v>
      </c>
      <c r="L1" s="7" t="s">
        <v>46</v>
      </c>
    </row>
    <row r="2" spans="1:12" x14ac:dyDescent="0.25">
      <c r="A2" t="s">
        <v>53</v>
      </c>
      <c r="B2" s="1">
        <v>227.75</v>
      </c>
      <c r="C2" s="1">
        <v>164860000000</v>
      </c>
      <c r="D2" s="1">
        <f>C2+2500000000</f>
        <v>167360000000</v>
      </c>
      <c r="E2" s="1">
        <v>67370000000</v>
      </c>
      <c r="F2" s="1">
        <v>19250000000</v>
      </c>
      <c r="G2" s="1">
        <v>17600000000</v>
      </c>
      <c r="H2" s="1">
        <v>8310000000</v>
      </c>
      <c r="I2">
        <f>D2/E2</f>
        <v>2.4841917767552322</v>
      </c>
      <c r="J2">
        <f>D2/F2</f>
        <v>8.6940259740259744</v>
      </c>
      <c r="K2">
        <f>D2/G2</f>
        <v>9.5090909090909097</v>
      </c>
      <c r="L2">
        <f>C2/H2</f>
        <v>19.838748495788206</v>
      </c>
    </row>
    <row r="3" spans="1:12" x14ac:dyDescent="0.25">
      <c r="A3" t="s">
        <v>54</v>
      </c>
      <c r="B3" s="1">
        <v>39.81</v>
      </c>
      <c r="C3" s="1">
        <v>12100000000</v>
      </c>
      <c r="D3" s="1">
        <f>C3+20000000000</f>
        <v>32100000000</v>
      </c>
      <c r="E3" s="1">
        <v>15850000000</v>
      </c>
      <c r="F3" s="21" t="s">
        <v>58</v>
      </c>
      <c r="G3" s="21" t="s">
        <v>59</v>
      </c>
      <c r="H3" s="1">
        <v>1020000000</v>
      </c>
      <c r="I3">
        <f t="shared" ref="I3:I6" si="0">D3/E3</f>
        <v>2.0252365930599368</v>
      </c>
      <c r="L3">
        <f t="shared" ref="L3:L6" si="1">C3/H3</f>
        <v>11.862745098039216</v>
      </c>
    </row>
    <row r="4" spans="1:12" x14ac:dyDescent="0.25">
      <c r="A4" t="s">
        <v>55</v>
      </c>
      <c r="B4" s="1">
        <v>144.51</v>
      </c>
      <c r="C4" s="1">
        <v>54940000000</v>
      </c>
      <c r="D4" s="1">
        <f>C4+51000000000-5360000000</f>
        <v>100580000000</v>
      </c>
      <c r="E4" s="1">
        <v>49160000000</v>
      </c>
      <c r="F4" s="21" t="s">
        <v>51</v>
      </c>
      <c r="G4" s="21" t="s">
        <v>58</v>
      </c>
      <c r="H4" s="1">
        <v>4810000000</v>
      </c>
      <c r="I4">
        <f t="shared" si="0"/>
        <v>2.0459723352318959</v>
      </c>
      <c r="L4">
        <f t="shared" si="1"/>
        <v>11.422037422037421</v>
      </c>
    </row>
    <row r="5" spans="1:12" x14ac:dyDescent="0.25">
      <c r="A5" t="s">
        <v>56</v>
      </c>
      <c r="B5" s="1">
        <v>42.28</v>
      </c>
      <c r="C5" s="1">
        <v>17200000000</v>
      </c>
      <c r="D5" s="1">
        <f>C5+1720000000</f>
        <v>18920000000</v>
      </c>
      <c r="E5" s="1">
        <v>17340000000</v>
      </c>
      <c r="F5" s="1">
        <v>9920000000</v>
      </c>
      <c r="G5" s="1">
        <v>9630000000</v>
      </c>
      <c r="H5" s="1">
        <v>2240000000</v>
      </c>
      <c r="I5">
        <f t="shared" si="0"/>
        <v>1.091118800461361</v>
      </c>
      <c r="J5">
        <f t="shared" ref="J5" si="2">D5/F5</f>
        <v>1.907258064516129</v>
      </c>
      <c r="K5">
        <f t="shared" ref="K5" si="3">D5/G5</f>
        <v>1.964693665628245</v>
      </c>
      <c r="L5">
        <f t="shared" si="1"/>
        <v>7.6785714285714288</v>
      </c>
    </row>
    <row r="6" spans="1:12" x14ac:dyDescent="0.25">
      <c r="A6" t="s">
        <v>57</v>
      </c>
      <c r="B6" s="1">
        <v>128.02000000000001</v>
      </c>
      <c r="C6" s="1">
        <v>32070000000</v>
      </c>
      <c r="D6" s="1">
        <f>C6+21330000000-2000000000</f>
        <v>51400000000</v>
      </c>
      <c r="E6" s="1">
        <v>20610000000</v>
      </c>
      <c r="F6" s="21" t="s">
        <v>58</v>
      </c>
      <c r="G6" s="21" t="s">
        <v>58</v>
      </c>
      <c r="H6" s="1">
        <v>2920000000</v>
      </c>
      <c r="I6">
        <f t="shared" si="0"/>
        <v>2.4939349830179522</v>
      </c>
      <c r="L6">
        <f t="shared" si="1"/>
        <v>10.982876712328768</v>
      </c>
    </row>
    <row r="15" spans="1:12" x14ac:dyDescent="0.25">
      <c r="A15" s="7" t="s">
        <v>37</v>
      </c>
      <c r="I15" s="13">
        <f>AVERAGE(I2:I14)</f>
        <v>2.0280908977052756</v>
      </c>
      <c r="J15" s="13">
        <f t="shared" ref="J15:K15" si="4">AVERAGE(J2:J14)</f>
        <v>5.3006420192710522</v>
      </c>
      <c r="K15" s="13">
        <f t="shared" si="4"/>
        <v>5.7368922873595771</v>
      </c>
      <c r="L15" s="13">
        <f>AVERAGE(L2:L14)</f>
        <v>12.356995831353007</v>
      </c>
    </row>
    <row r="16" spans="1:12" x14ac:dyDescent="0.25">
      <c r="A16" s="7" t="s">
        <v>38</v>
      </c>
      <c r="I16" s="24">
        <f>I15/I6-1</f>
        <v>-0.18679078985008302</v>
      </c>
      <c r="J16" s="24"/>
      <c r="K16" s="24"/>
      <c r="L16" s="24">
        <f t="shared" ref="L16" si="5">L15/L6-1</f>
        <v>0.12511468124573688</v>
      </c>
    </row>
    <row r="19" spans="9:12" x14ac:dyDescent="0.25">
      <c r="I19" s="13"/>
      <c r="J19" s="13"/>
      <c r="K19" s="13"/>
      <c r="L19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37D86-A501-46EB-9463-7F18DC6294A5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FCF</vt:lpstr>
      <vt:lpstr>WACC</vt:lpstr>
      <vt:lpstr>CCA</vt:lpstr>
      <vt:lpstr>ABOUT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furkan panayir</dc:creator>
  <cp:lastModifiedBy>furkan panayir</cp:lastModifiedBy>
  <dcterms:created xsi:type="dcterms:W3CDTF">2015-06-05T18:17:20Z</dcterms:created>
  <dcterms:modified xsi:type="dcterms:W3CDTF">2024-04-10T20:58:43Z</dcterms:modified>
</cp:coreProperties>
</file>