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furka\Desktop\DOSYALARIM\Az kullandıklarım\Hisse ve Şirket değerleme\2023-2024 OCAK\DONE\"/>
    </mc:Choice>
  </mc:AlternateContent>
  <xr:revisionPtr revIDLastSave="0" documentId="13_ncr:1_{49A21B47-9DB4-4DD6-A68C-CDD4863E24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CF" sheetId="1" r:id="rId1"/>
    <sheet name="WACC" sheetId="2" r:id="rId2"/>
    <sheet name="CCA" sheetId="3" r:id="rId3"/>
    <sheet name="ABOUT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Q20" i="1"/>
  <c r="M20" i="1"/>
  <c r="N20" i="1"/>
  <c r="O20" i="1"/>
  <c r="L20" i="1"/>
  <c r="J28" i="1"/>
  <c r="B13" i="2"/>
  <c r="B4" i="2"/>
  <c r="B15" i="2"/>
  <c r="B14" i="2"/>
  <c r="L21" i="1"/>
  <c r="M21" i="1"/>
  <c r="N21" i="1"/>
  <c r="O21" i="1"/>
  <c r="K21" i="1"/>
  <c r="P21" i="1"/>
  <c r="B22" i="1" s="1"/>
  <c r="B25" i="1" s="1"/>
  <c r="B27" i="1" s="1"/>
  <c r="B29" i="1" s="1"/>
  <c r="O15" i="1"/>
  <c r="N15" i="1"/>
  <c r="M15" i="1"/>
  <c r="L15" i="1"/>
  <c r="K15" i="1"/>
  <c r="J15" i="1"/>
  <c r="K14" i="1"/>
  <c r="L14" i="1" s="1"/>
  <c r="K13" i="1"/>
  <c r="L8" i="1"/>
  <c r="M8" i="1"/>
  <c r="N8" i="1"/>
  <c r="O8" i="1"/>
  <c r="K8" i="1"/>
  <c r="M6" i="1"/>
  <c r="N6" i="1" s="1"/>
  <c r="O6" i="1" s="1"/>
  <c r="L6" i="1"/>
  <c r="O2" i="1"/>
  <c r="N2" i="1"/>
  <c r="M2" i="1"/>
  <c r="L2" i="1"/>
  <c r="K2" i="1"/>
  <c r="J3" i="1"/>
  <c r="J14" i="1"/>
  <c r="J13" i="1"/>
  <c r="E3" i="1"/>
  <c r="F3" i="1"/>
  <c r="G3" i="1"/>
  <c r="H3" i="1"/>
  <c r="I3" i="1"/>
  <c r="D3" i="1"/>
  <c r="M14" i="1" l="1"/>
  <c r="N13" i="1"/>
  <c r="O13" i="1" s="1"/>
  <c r="L13" i="1"/>
  <c r="M13" i="1" s="1"/>
  <c r="N14" i="1" l="1"/>
  <c r="O14" i="1" s="1"/>
  <c r="F7" i="1"/>
  <c r="F6" i="1"/>
  <c r="C6" i="1"/>
  <c r="D7" i="1"/>
  <c r="D6" i="1"/>
  <c r="G7" i="1"/>
  <c r="G6" i="1"/>
  <c r="H6" i="1"/>
  <c r="H7" i="1"/>
  <c r="I7" i="1"/>
  <c r="I6" i="1"/>
  <c r="E7" i="1"/>
  <c r="E6" i="1"/>
</calcChain>
</file>

<file path=xl/sharedStrings.xml><?xml version="1.0" encoding="utf-8"?>
<sst xmlns="http://schemas.openxmlformats.org/spreadsheetml/2006/main" count="59" uniqueCount="56">
  <si>
    <t>REVENUE</t>
  </si>
  <si>
    <t xml:space="preserve">Average </t>
  </si>
  <si>
    <t>COGS</t>
  </si>
  <si>
    <t>TOTAL OPERATİNG EXPENSES</t>
  </si>
  <si>
    <t>EBIT</t>
  </si>
  <si>
    <t>INCOME TAX</t>
  </si>
  <si>
    <t>TAX RATE</t>
  </si>
  <si>
    <t>DEPRECİATİON&amp;AMORTİZATİON</t>
  </si>
  <si>
    <t>(NET CAPİTAL EXPENDİTURE)</t>
  </si>
  <si>
    <t>(CHANGE IN WORKING CAPITAL)</t>
  </si>
  <si>
    <t>FCF</t>
  </si>
  <si>
    <t>EV/EBİTDA</t>
  </si>
  <si>
    <t>EV/EBİTDA multiple</t>
  </si>
  <si>
    <t>TERMİNAL VALUE</t>
  </si>
  <si>
    <t>FCF=EBIT*(1-TAX RATE)+DEPRECİATİON&amp;AMORTİZATİON-NET CAPEX-INCREASE IN WORKING CAPITAL</t>
  </si>
  <si>
    <t>NPV OF FCF (ENTERPRİSE VALUE)</t>
  </si>
  <si>
    <t>CASH AND CASH EQUİVALENTS</t>
  </si>
  <si>
    <t>(DEBT)</t>
  </si>
  <si>
    <t>EQUİTY VALUE</t>
  </si>
  <si>
    <t>SHARES OUTSTANDING</t>
  </si>
  <si>
    <t>FAIR VALUE OF THE COMPANY</t>
  </si>
  <si>
    <t>COST OF EQUITY</t>
  </si>
  <si>
    <t>EQUITY RISK PREMIUM</t>
  </si>
  <si>
    <t>(X)BETA</t>
  </si>
  <si>
    <t>(+)RISK FREE RATE</t>
  </si>
  <si>
    <t>COST OF DEBT</t>
  </si>
  <si>
    <t>WACC</t>
  </si>
  <si>
    <t>PERCENT OF EQUITY</t>
  </si>
  <si>
    <t>PERCENT OF DEBT</t>
  </si>
  <si>
    <t>AVERAGE YIELD ON DEBT</t>
  </si>
  <si>
    <t>(X)TAX SHIELD</t>
  </si>
  <si>
    <t>FOR USA</t>
  </si>
  <si>
    <t>MARKET PRICE 8TH OF FEBRUARY</t>
  </si>
  <si>
    <t>Growth Forecast</t>
  </si>
  <si>
    <t>COMPANY</t>
  </si>
  <si>
    <t>MARKET CAP</t>
  </si>
  <si>
    <t>PRICE</t>
  </si>
  <si>
    <t>AVERAGE</t>
  </si>
  <si>
    <t>DIFFERENCE</t>
  </si>
  <si>
    <t>EV</t>
  </si>
  <si>
    <t>SALES</t>
  </si>
  <si>
    <t>EBITDA</t>
  </si>
  <si>
    <t>EARNINGS</t>
  </si>
  <si>
    <t>EV/SALES</t>
  </si>
  <si>
    <t>EV/EBITDA</t>
  </si>
  <si>
    <t>EV/EBIT</t>
  </si>
  <si>
    <t>P/E</t>
  </si>
  <si>
    <t>SECTOR AVERAGES</t>
  </si>
  <si>
    <t>EXİT</t>
  </si>
  <si>
    <t>Golden Ocean</t>
  </si>
  <si>
    <t>DOES NOT PAY HİGH TAX!!</t>
  </si>
  <si>
    <t>Operating Expenses</t>
  </si>
  <si>
    <t>---</t>
  </si>
  <si>
    <t>COMPANY IS OVERPRICED AT CURRENT MARKET CAP, IT HAS BEEN RISEN %70 FROM PAST 6 MONTHS, IT WAS THE TIME I FOUND THE COMPANY</t>
  </si>
  <si>
    <t>COMPANY IS A GROWTH COMPANY SO USUALLY OVERPRICED RELATIVE TO PEER COMPANIES</t>
  </si>
  <si>
    <t>another terminal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</si>
</sst>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0" applyNumberFormat="1"/>
    <xf numFmtId="9" fontId="0" fillId="0" borderId="0" xfId="1" applyFont="1"/>
    <xf numFmtId="9" fontId="0" fillId="0" borderId="0" xfId="0" applyNumberFormat="1"/>
    <xf numFmtId="2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3" fillId="0" borderId="0" xfId="0" applyFont="1"/>
    <xf numFmtId="2" fontId="0" fillId="0" borderId="0" xfId="0" applyNumberFormat="1" applyAlignment="1">
      <alignment horizontal="center"/>
    </xf>
    <xf numFmtId="10" fontId="0" fillId="0" borderId="0" xfId="0" applyNumberFormat="1"/>
    <xf numFmtId="10" fontId="0" fillId="0" borderId="0" xfId="1" applyNumberFormat="1" applyFont="1"/>
    <xf numFmtId="0" fontId="0" fillId="0" borderId="0" xfId="1" applyNumberFormat="1" applyFont="1"/>
    <xf numFmtId="0" fontId="1" fillId="0" borderId="0" xfId="0" applyFont="1"/>
    <xf numFmtId="0" fontId="0" fillId="3" borderId="0" xfId="0" applyFill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4" borderId="0" xfId="0" applyFill="1" applyAlignment="1">
      <alignment wrapText="1"/>
    </xf>
    <xf numFmtId="0" fontId="3" fillId="0" borderId="0" xfId="0" applyFont="1" applyAlignment="1">
      <alignment horizontal="center"/>
    </xf>
    <xf numFmtId="9" fontId="0" fillId="0" borderId="0" xfId="1" quotePrefix="1" applyFont="1"/>
    <xf numFmtId="9" fontId="0" fillId="0" borderId="0" xfId="1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5" borderId="0" xfId="0" applyNumberFormat="1" applyFill="1"/>
    <xf numFmtId="2" fontId="0" fillId="6" borderId="0" xfId="0" applyNumberFormat="1" applyFill="1"/>
    <xf numFmtId="9" fontId="0" fillId="5" borderId="0" xfId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9525</xdr:rowOff>
    </xdr:from>
    <xdr:to>
      <xdr:col>29</xdr:col>
      <xdr:colOff>28575</xdr:colOff>
      <xdr:row>36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341F65-C126-7C24-84B5-93B049CD85C3}"/>
            </a:ext>
          </a:extLst>
        </xdr:cNvPr>
        <xdr:cNvSpPr txBox="1"/>
      </xdr:nvSpPr>
      <xdr:spPr>
        <a:xfrm>
          <a:off x="152400" y="200025"/>
          <a:ext cx="17554575" cy="6838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>
              <a:solidFill>
                <a:schemeClr val="accent1">
                  <a:lumMod val="75000"/>
                </a:schemeClr>
              </a:solidFill>
            </a:rPr>
            <a:t>COMPANY IS OVERPRICED AT CURRENT MARKET CAP, IT HAS BEEN RISEN %70 FROM PAST 6 MONTHS, </a:t>
          </a:r>
          <a:r>
            <a:rPr lang="tr-TR" sz="2400">
              <a:solidFill>
                <a:schemeClr val="accent1">
                  <a:lumMod val="75000"/>
                </a:schemeClr>
              </a:solidFill>
            </a:rPr>
            <a:t>When</a:t>
          </a:r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 I found it it was like %50 lower priced</a:t>
          </a:r>
          <a:endParaRPr lang="tr-TR" sz="2400">
            <a:solidFill>
              <a:schemeClr val="accent1">
                <a:lumMod val="75000"/>
              </a:schemeClr>
            </a:solidFill>
          </a:endParaRPr>
        </a:p>
        <a:p>
          <a:r>
            <a:rPr lang="tr-TR" sz="2400">
              <a:solidFill>
                <a:schemeClr val="accent1">
                  <a:lumMod val="75000"/>
                </a:schemeClr>
              </a:solidFill>
            </a:rPr>
            <a:t>OVERPRICED</a:t>
          </a:r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 TO OTHER SHIPPING COMPANIES BUT HAS HIGH GROWTH EXPECTATIONS</a:t>
          </a:r>
        </a:p>
        <a:p>
          <a:endParaRPr lang="en-US" sz="24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abSelected="1" topLeftCell="D1" workbookViewId="0">
      <selection activeCell="L26" sqref="L26"/>
    </sheetView>
  </sheetViews>
  <sheetFormatPr defaultColWidth="18.7109375" defaultRowHeight="15" x14ac:dyDescent="0.25"/>
  <cols>
    <col min="1" max="1" width="30.7109375" customWidth="1"/>
    <col min="12" max="12" width="19.42578125" bestFit="1" customWidth="1"/>
  </cols>
  <sheetData>
    <row r="1" spans="1:16" x14ac:dyDescent="0.25">
      <c r="A1" s="16" t="s">
        <v>49</v>
      </c>
      <c r="B1" s="14">
        <v>2016</v>
      </c>
      <c r="C1" s="14">
        <v>2017</v>
      </c>
      <c r="D1" s="7">
        <v>2018</v>
      </c>
      <c r="E1" s="14">
        <v>2019</v>
      </c>
      <c r="F1" s="14">
        <v>2020</v>
      </c>
      <c r="G1" s="14">
        <v>2021</v>
      </c>
      <c r="H1" s="14">
        <v>2022</v>
      </c>
      <c r="I1" s="14">
        <v>2023</v>
      </c>
      <c r="J1" s="15" t="s">
        <v>1</v>
      </c>
      <c r="K1" s="14">
        <v>2024</v>
      </c>
      <c r="L1" s="14">
        <v>2025</v>
      </c>
      <c r="M1" s="14">
        <v>2026</v>
      </c>
      <c r="N1" s="14">
        <v>2027</v>
      </c>
      <c r="O1" s="14">
        <v>2028</v>
      </c>
      <c r="P1" s="17" t="s">
        <v>48</v>
      </c>
    </row>
    <row r="2" spans="1:16" x14ac:dyDescent="0.25">
      <c r="A2" s="7" t="s">
        <v>0</v>
      </c>
      <c r="C2" s="1">
        <v>460000000</v>
      </c>
      <c r="D2" s="1">
        <v>656000000</v>
      </c>
      <c r="E2" s="1">
        <v>705000000</v>
      </c>
      <c r="F2" s="1">
        <v>607000000</v>
      </c>
      <c r="G2" s="1">
        <v>1200000000</v>
      </c>
      <c r="H2" s="1">
        <v>1110000000</v>
      </c>
      <c r="I2" s="1">
        <v>885000000</v>
      </c>
      <c r="J2" s="1"/>
      <c r="K2" s="1">
        <f>I2*J3+I2</f>
        <v>997248684.89107239</v>
      </c>
      <c r="L2" s="1">
        <f>K2+K2*$J$3</f>
        <v>1123734394.9344332</v>
      </c>
      <c r="M2" s="1">
        <f>L2+L2*$J$3</f>
        <v>1266262878.5482807</v>
      </c>
      <c r="N2" s="1">
        <f>M2+M2*$J$3</f>
        <v>1426868915.6594992</v>
      </c>
      <c r="O2" s="1">
        <f>N2+N2*$J$3</f>
        <v>1607845366.8399842</v>
      </c>
      <c r="P2" s="1"/>
    </row>
    <row r="3" spans="1:16" x14ac:dyDescent="0.25">
      <c r="A3" s="7"/>
      <c r="C3" s="1"/>
      <c r="D3" s="2">
        <f>D2/C2-1</f>
        <v>0.42608695652173911</v>
      </c>
      <c r="E3" s="2">
        <f t="shared" ref="E3:I3" si="0">E2/D2-1</f>
        <v>7.4695121951219523E-2</v>
      </c>
      <c r="F3" s="2">
        <f t="shared" si="0"/>
        <v>-0.13900709219858154</v>
      </c>
      <c r="G3" s="2">
        <f t="shared" si="0"/>
        <v>0.97693574958813834</v>
      </c>
      <c r="H3" s="2">
        <f t="shared" si="0"/>
        <v>-7.4999999999999956E-2</v>
      </c>
      <c r="I3" s="2">
        <f t="shared" si="0"/>
        <v>-0.20270270270270274</v>
      </c>
      <c r="J3" s="2">
        <f>AVERAGE(D3:I3)-5%</f>
        <v>0.12683467219330213</v>
      </c>
      <c r="K3" s="1"/>
      <c r="L3" s="1"/>
      <c r="M3" s="1"/>
      <c r="N3" s="1"/>
      <c r="O3" s="1"/>
      <c r="P3" s="1"/>
    </row>
    <row r="4" spans="1:16" x14ac:dyDescent="0.25">
      <c r="A4" s="7" t="s">
        <v>2</v>
      </c>
      <c r="C4" s="1">
        <v>400000000</v>
      </c>
      <c r="D4" s="1">
        <v>498000000</v>
      </c>
      <c r="E4" s="1">
        <v>589000000</v>
      </c>
      <c r="F4" s="1">
        <v>563000000</v>
      </c>
      <c r="G4" s="1">
        <v>675000000</v>
      </c>
      <c r="H4" s="1">
        <v>691000000</v>
      </c>
      <c r="I4" s="1">
        <v>675000000</v>
      </c>
      <c r="J4" s="1"/>
      <c r="K4" s="1"/>
      <c r="L4" s="1"/>
      <c r="M4" s="1"/>
      <c r="N4" s="1"/>
      <c r="O4" s="1"/>
      <c r="P4" s="1"/>
    </row>
    <row r="5" spans="1:16" x14ac:dyDescent="0.25">
      <c r="A5" s="7" t="s">
        <v>51</v>
      </c>
      <c r="C5" s="1">
        <v>12000000</v>
      </c>
      <c r="D5" s="1">
        <v>15000000</v>
      </c>
      <c r="E5" s="1">
        <v>15000000</v>
      </c>
      <c r="F5" s="1">
        <v>13000000</v>
      </c>
      <c r="G5" s="1">
        <v>18000000</v>
      </c>
      <c r="H5" s="1">
        <v>20000000</v>
      </c>
      <c r="I5" s="1">
        <v>18000000</v>
      </c>
      <c r="J5" s="1"/>
      <c r="K5" s="1"/>
      <c r="L5" s="1"/>
      <c r="M5" s="1"/>
      <c r="N5" s="1"/>
      <c r="O5" s="1"/>
      <c r="P5" s="1"/>
    </row>
    <row r="6" spans="1:16" x14ac:dyDescent="0.25">
      <c r="A6" s="7" t="s">
        <v>3</v>
      </c>
      <c r="C6" s="1">
        <f t="shared" ref="C6:I6" ca="1" si="1">SUM(C4:C13)</f>
        <v>412000000</v>
      </c>
      <c r="D6" s="1">
        <f t="shared" ca="1" si="1"/>
        <v>513000000</v>
      </c>
      <c r="E6" s="1">
        <f t="shared" ca="1" si="1"/>
        <v>604000000</v>
      </c>
      <c r="F6" s="1">
        <f t="shared" ca="1" si="1"/>
        <v>576000000</v>
      </c>
      <c r="G6" s="1">
        <f t="shared" ca="1" si="1"/>
        <v>693000000</v>
      </c>
      <c r="H6" s="1">
        <f t="shared" ca="1" si="1"/>
        <v>711000000</v>
      </c>
      <c r="I6" s="1">
        <f t="shared" ca="1" si="1"/>
        <v>693000000</v>
      </c>
      <c r="J6" s="9"/>
      <c r="K6" s="1">
        <v>760000000</v>
      </c>
      <c r="L6" s="1">
        <f>K6+K6*$J$7</f>
        <v>832960000</v>
      </c>
      <c r="M6" s="1">
        <f t="shared" ref="M6:O6" si="2">L6+L6*$J$7</f>
        <v>912924160</v>
      </c>
      <c r="N6" s="1">
        <f t="shared" si="2"/>
        <v>1000564879.36</v>
      </c>
      <c r="O6" s="1">
        <f t="shared" si="2"/>
        <v>1096619107.7785599</v>
      </c>
      <c r="P6" s="1"/>
    </row>
    <row r="7" spans="1:16" x14ac:dyDescent="0.25">
      <c r="A7" s="7"/>
      <c r="C7" s="10"/>
      <c r="D7" s="2">
        <f ca="1">D6/C6-1</f>
        <v>0.24514563106796117</v>
      </c>
      <c r="E7" s="2">
        <f t="shared" ref="E7:I7" ca="1" si="3">E6/D6-1</f>
        <v>0.17738791423001943</v>
      </c>
      <c r="F7" s="2">
        <f t="shared" ca="1" si="3"/>
        <v>-4.635761589403975E-2</v>
      </c>
      <c r="G7" s="2">
        <f t="shared" ca="1" si="3"/>
        <v>0.203125</v>
      </c>
      <c r="H7" s="2">
        <f t="shared" ca="1" si="3"/>
        <v>2.5974025974025983E-2</v>
      </c>
      <c r="I7" s="2">
        <f t="shared" ca="1" si="3"/>
        <v>-2.5316455696202556E-2</v>
      </c>
      <c r="J7" s="2">
        <v>9.6000000000000002E-2</v>
      </c>
      <c r="K7" s="1"/>
      <c r="L7" s="1"/>
      <c r="M7" s="1"/>
      <c r="N7" s="1"/>
      <c r="O7" s="1"/>
      <c r="P7" s="1"/>
    </row>
    <row r="8" spans="1:16" x14ac:dyDescent="0.25">
      <c r="A8" s="7" t="s">
        <v>4</v>
      </c>
      <c r="C8" s="1">
        <v>47000000</v>
      </c>
      <c r="D8" s="1">
        <v>142000000</v>
      </c>
      <c r="E8" s="1">
        <v>101000000</v>
      </c>
      <c r="F8" s="1">
        <v>30000000</v>
      </c>
      <c r="G8" s="1">
        <v>510000000</v>
      </c>
      <c r="H8" s="1">
        <v>401000000</v>
      </c>
      <c r="I8" s="1">
        <v>191000000</v>
      </c>
      <c r="J8" s="1"/>
      <c r="K8" s="1">
        <f>K2-K6</f>
        <v>237248684.89107239</v>
      </c>
      <c r="L8" s="1">
        <f t="shared" ref="L8:O8" si="4">L2-L6</f>
        <v>290774394.93443322</v>
      </c>
      <c r="M8" s="1">
        <f t="shared" si="4"/>
        <v>353338718.54828072</v>
      </c>
      <c r="N8" s="1">
        <f t="shared" si="4"/>
        <v>426304036.29949915</v>
      </c>
      <c r="O8" s="1">
        <f t="shared" si="4"/>
        <v>511226259.06142426</v>
      </c>
      <c r="P8" s="1"/>
    </row>
    <row r="9" spans="1:16" x14ac:dyDescent="0.25">
      <c r="A9" s="7" t="s">
        <v>5</v>
      </c>
      <c r="C9" s="1" t="s">
        <v>50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A10" s="7" t="s">
        <v>6</v>
      </c>
      <c r="C10" s="1" t="s">
        <v>50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5">
      <c r="A12" s="7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7" t="s">
        <v>7</v>
      </c>
      <c r="C13" s="1">
        <v>78000000</v>
      </c>
      <c r="D13" s="1">
        <v>92000000</v>
      </c>
      <c r="E13" s="1">
        <v>93000000</v>
      </c>
      <c r="F13" s="1">
        <v>111000000</v>
      </c>
      <c r="G13" s="1">
        <v>123000000</v>
      </c>
      <c r="H13" s="1">
        <v>129000000</v>
      </c>
      <c r="I13" s="1">
        <v>135000000</v>
      </c>
      <c r="J13" s="1">
        <f>AVERAGE(C13:I13)</f>
        <v>108714285.71428572</v>
      </c>
      <c r="K13" s="1">
        <f t="shared" ref="K13:O13" si="5">AVERAGE(D13:J13)</f>
        <v>113102040.81632653</v>
      </c>
      <c r="L13" s="1">
        <f t="shared" si="5"/>
        <v>116116618.07580175</v>
      </c>
      <c r="M13" s="1">
        <f t="shared" si="5"/>
        <v>119418992.08663057</v>
      </c>
      <c r="N13" s="1">
        <f t="shared" si="5"/>
        <v>120621705.2418635</v>
      </c>
      <c r="O13" s="1">
        <f t="shared" si="5"/>
        <v>120281948.847844</v>
      </c>
      <c r="P13" s="1"/>
    </row>
    <row r="14" spans="1:16" x14ac:dyDescent="0.25">
      <c r="A14" s="7" t="s">
        <v>8</v>
      </c>
      <c r="C14" s="1">
        <v>-155000000</v>
      </c>
      <c r="D14" s="1">
        <v>-158000000</v>
      </c>
      <c r="E14" s="1">
        <v>-44000000</v>
      </c>
      <c r="F14" s="1">
        <v>-25000000</v>
      </c>
      <c r="G14" s="1">
        <v>-445000000</v>
      </c>
      <c r="H14" s="1">
        <v>-61000000</v>
      </c>
      <c r="I14" s="1">
        <v>-477000000</v>
      </c>
      <c r="J14" s="1">
        <f>AVERAGE(C14:I14)</f>
        <v>-195000000</v>
      </c>
      <c r="K14" s="1">
        <f t="shared" ref="K14:O14" si="6">AVERAGE(D14:J14)</f>
        <v>-200714285.7142857</v>
      </c>
      <c r="L14" s="1">
        <f t="shared" si="6"/>
        <v>-206816326.53061223</v>
      </c>
      <c r="M14" s="1">
        <f t="shared" si="6"/>
        <v>-230075801.74927112</v>
      </c>
      <c r="N14" s="1">
        <f t="shared" si="6"/>
        <v>-259372344.85630986</v>
      </c>
      <c r="O14" s="1">
        <f t="shared" si="6"/>
        <v>-232854108.40721127</v>
      </c>
      <c r="P14" s="1"/>
    </row>
    <row r="15" spans="1:16" x14ac:dyDescent="0.25">
      <c r="A15" s="7" t="s">
        <v>9</v>
      </c>
      <c r="C15" s="1">
        <v>-7000000</v>
      </c>
      <c r="D15" s="1">
        <v>-20000000</v>
      </c>
      <c r="E15" s="1">
        <v>-1280000</v>
      </c>
      <c r="F15" s="1">
        <v>31000000</v>
      </c>
      <c r="G15" s="1">
        <v>-37000000</v>
      </c>
      <c r="H15" s="1">
        <v>12000000</v>
      </c>
      <c r="I15" s="1">
        <v>3000000</v>
      </c>
      <c r="J15" s="1">
        <f>AVERAGE(C15:I15)</f>
        <v>-2754285.7142857141</v>
      </c>
      <c r="K15" s="1">
        <f>AVERAGE(C15:I15)</f>
        <v>-2754285.7142857141</v>
      </c>
      <c r="L15" s="1">
        <f>AVERAGE(C15:I15)</f>
        <v>-2754285.7142857141</v>
      </c>
      <c r="M15" s="1">
        <f>AVERAGE(C15:I15)</f>
        <v>-2754285.7142857141</v>
      </c>
      <c r="N15" s="1">
        <f>AVERAGE(C15:I15)</f>
        <v>-2754285.7142857141</v>
      </c>
      <c r="O15" s="1">
        <f>AVERAGE(C15:I15)</f>
        <v>-2754285.7142857141</v>
      </c>
      <c r="P15" s="1"/>
    </row>
    <row r="16" spans="1:16" x14ac:dyDescent="0.25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7" x14ac:dyDescent="0.2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20" spans="1:17" x14ac:dyDescent="0.25">
      <c r="L20" s="2">
        <f>L21/K21-1</f>
        <v>0.1131096883823155</v>
      </c>
      <c r="M20" s="2">
        <f t="shared" ref="M20:O20" si="7">M21/L21-1</f>
        <v>0.14457700072806468</v>
      </c>
      <c r="N20" s="2">
        <f t="shared" si="7"/>
        <v>0.14663600234063434</v>
      </c>
      <c r="O20" s="2">
        <f t="shared" si="7"/>
        <v>7.1768196868684297E-2</v>
      </c>
      <c r="P20" s="2"/>
      <c r="Q20" s="2">
        <f>AVERAGE(L20:O20)-2%</f>
        <v>9.9022722079924699E-2</v>
      </c>
    </row>
    <row r="21" spans="1:17" x14ac:dyDescent="0.25">
      <c r="J21" s="5" t="s">
        <v>10</v>
      </c>
      <c r="K21" s="6">
        <f>K8+K13-K14-K15</f>
        <v>553819297.13597035</v>
      </c>
      <c r="L21" s="6">
        <f t="shared" ref="L21:O21" si="8">L8+L13-L14-L15</f>
        <v>616461625.25513291</v>
      </c>
      <c r="M21" s="6">
        <f t="shared" si="8"/>
        <v>705587798.09846818</v>
      </c>
      <c r="N21" s="6">
        <f t="shared" si="8"/>
        <v>809052372.11195827</v>
      </c>
      <c r="O21" s="6">
        <f t="shared" si="8"/>
        <v>867116602.0307653</v>
      </c>
      <c r="P21" s="6">
        <f>J28</f>
        <v>3136714385.68613</v>
      </c>
    </row>
    <row r="22" spans="1:17" x14ac:dyDescent="0.25">
      <c r="A22" s="7" t="s">
        <v>15</v>
      </c>
      <c r="B22" s="21">
        <f>NPV(WACC!B13,FCF!K21:P21)</f>
        <v>4558846852.8033104</v>
      </c>
      <c r="I22" t="s">
        <v>14</v>
      </c>
    </row>
    <row r="23" spans="1:17" x14ac:dyDescent="0.25">
      <c r="A23" s="7" t="s">
        <v>16</v>
      </c>
      <c r="B23" s="21">
        <v>118000000</v>
      </c>
    </row>
    <row r="24" spans="1:17" x14ac:dyDescent="0.25">
      <c r="A24" s="7" t="s">
        <v>17</v>
      </c>
      <c r="B24" s="21">
        <v>1640000000</v>
      </c>
    </row>
    <row r="25" spans="1:17" x14ac:dyDescent="0.25">
      <c r="A25" s="7" t="s">
        <v>18</v>
      </c>
      <c r="B25" s="21">
        <f>B22+B23-B24</f>
        <v>3036846852.8033104</v>
      </c>
      <c r="L25" t="s">
        <v>55</v>
      </c>
    </row>
    <row r="26" spans="1:17" x14ac:dyDescent="0.25">
      <c r="A26" t="s">
        <v>19</v>
      </c>
      <c r="B26" s="22">
        <v>199406282</v>
      </c>
      <c r="I26" t="s">
        <v>12</v>
      </c>
      <c r="J26" s="4">
        <v>5</v>
      </c>
      <c r="L26" s="1">
        <f>(O21*(1+Q20))/9%-10%</f>
        <v>10588676092.39496</v>
      </c>
    </row>
    <row r="27" spans="1:17" x14ac:dyDescent="0.25">
      <c r="A27" s="7" t="s">
        <v>20</v>
      </c>
      <c r="B27" s="21">
        <f>B25/B26</f>
        <v>15.229444239892654</v>
      </c>
      <c r="I27" t="s">
        <v>11</v>
      </c>
      <c r="J27" s="1"/>
    </row>
    <row r="28" spans="1:17" x14ac:dyDescent="0.25">
      <c r="A28" s="12" t="s">
        <v>32</v>
      </c>
      <c r="B28" s="21">
        <v>13.16</v>
      </c>
      <c r="I28" t="s">
        <v>13</v>
      </c>
      <c r="J28" s="1">
        <f>(O8+L13)*J26</f>
        <v>3136714385.68613</v>
      </c>
    </row>
    <row r="29" spans="1:17" x14ac:dyDescent="0.25">
      <c r="A29" s="7" t="s">
        <v>33</v>
      </c>
      <c r="B29" s="23">
        <f>B27/B28-1</f>
        <v>0.15725260181555112</v>
      </c>
    </row>
    <row r="34" spans="2:15" x14ac:dyDescent="0.25">
      <c r="B34" s="14"/>
      <c r="C34" s="14"/>
      <c r="D34" s="7"/>
      <c r="E34" s="14"/>
      <c r="F34" s="14"/>
      <c r="G34" s="14"/>
      <c r="H34" s="14"/>
      <c r="I34" s="14"/>
      <c r="J34" s="15"/>
      <c r="K34" s="14"/>
      <c r="L34" s="14"/>
      <c r="M34" s="14"/>
      <c r="N34" s="14"/>
      <c r="O34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7D02C-8257-424B-A204-0C90EF0FBBFD}">
  <dimension ref="A4:M18"/>
  <sheetViews>
    <sheetView workbookViewId="0">
      <selection activeCell="B13" sqref="B13"/>
    </sheetView>
  </sheetViews>
  <sheetFormatPr defaultRowHeight="15" x14ac:dyDescent="0.25"/>
  <cols>
    <col min="1" max="1" width="30.7109375" customWidth="1"/>
    <col min="2" max="2" width="12.140625" bestFit="1" customWidth="1"/>
  </cols>
  <sheetData>
    <row r="4" spans="1:13" x14ac:dyDescent="0.25">
      <c r="A4" s="7" t="s">
        <v>21</v>
      </c>
      <c r="B4" s="2">
        <f>B7+B6*B5</f>
        <v>0.10587999999999999</v>
      </c>
      <c r="C4" s="9"/>
    </row>
    <row r="5" spans="1:13" x14ac:dyDescent="0.25">
      <c r="A5" t="s">
        <v>22</v>
      </c>
      <c r="B5" s="20">
        <v>4.5999999999999999E-2</v>
      </c>
      <c r="D5" t="s">
        <v>31</v>
      </c>
    </row>
    <row r="6" spans="1:13" x14ac:dyDescent="0.25">
      <c r="A6" t="s">
        <v>23</v>
      </c>
      <c r="B6" s="8">
        <v>1.43</v>
      </c>
    </row>
    <row r="7" spans="1:13" x14ac:dyDescent="0.25">
      <c r="A7" t="s">
        <v>24</v>
      </c>
      <c r="B7" s="19">
        <v>4.0099999999999997E-2</v>
      </c>
      <c r="D7" t="s">
        <v>31</v>
      </c>
    </row>
    <row r="9" spans="1:13" x14ac:dyDescent="0.25">
      <c r="A9" s="7" t="s">
        <v>25</v>
      </c>
      <c r="B9" s="2">
        <v>0.06</v>
      </c>
    </row>
    <row r="10" spans="1:13" x14ac:dyDescent="0.25">
      <c r="A10" t="s">
        <v>29</v>
      </c>
      <c r="B10" s="2">
        <v>0.06</v>
      </c>
      <c r="L10" s="9"/>
      <c r="M10" s="4"/>
    </row>
    <row r="11" spans="1:13" x14ac:dyDescent="0.25">
      <c r="A11" t="s">
        <v>30</v>
      </c>
      <c r="B11" s="18" t="s">
        <v>52</v>
      </c>
      <c r="L11" s="2"/>
    </row>
    <row r="13" spans="1:13" x14ac:dyDescent="0.25">
      <c r="A13" s="7" t="s">
        <v>26</v>
      </c>
      <c r="B13" s="3">
        <f>(B14*B4)+(B15*B9)</f>
        <v>9.112015503875967E-2</v>
      </c>
    </row>
    <row r="14" spans="1:13" x14ac:dyDescent="0.25">
      <c r="A14" t="s">
        <v>27</v>
      </c>
      <c r="B14" s="2">
        <f>3.5/(3.5+1.66)</f>
        <v>0.67829457364341084</v>
      </c>
    </row>
    <row r="15" spans="1:13" x14ac:dyDescent="0.25">
      <c r="A15" t="s">
        <v>28</v>
      </c>
      <c r="B15" s="2">
        <f>1-B14</f>
        <v>0.32170542635658916</v>
      </c>
    </row>
    <row r="16" spans="1:13" x14ac:dyDescent="0.25">
      <c r="E16" s="11"/>
      <c r="F16" s="3"/>
    </row>
    <row r="17" spans="6:6" x14ac:dyDescent="0.25">
      <c r="F17" s="3"/>
    </row>
    <row r="18" spans="6:6" x14ac:dyDescent="0.25">
      <c r="F1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EE5AC-92D0-404E-B814-36062D1B52F9}">
  <dimension ref="A1:L19"/>
  <sheetViews>
    <sheetView workbookViewId="0">
      <selection activeCell="C8" sqref="C8"/>
    </sheetView>
  </sheetViews>
  <sheetFormatPr defaultColWidth="15.7109375" defaultRowHeight="15" x14ac:dyDescent="0.25"/>
  <cols>
    <col min="1" max="1" width="20.7109375" customWidth="1"/>
  </cols>
  <sheetData>
    <row r="1" spans="1:12" x14ac:dyDescent="0.25">
      <c r="A1" s="7" t="s">
        <v>34</v>
      </c>
      <c r="B1" s="7" t="s">
        <v>36</v>
      </c>
      <c r="C1" s="7" t="s">
        <v>35</v>
      </c>
      <c r="D1" s="7" t="s">
        <v>39</v>
      </c>
      <c r="E1" s="7" t="s">
        <v>40</v>
      </c>
      <c r="F1" s="7" t="s">
        <v>41</v>
      </c>
      <c r="G1" s="7" t="s">
        <v>4</v>
      </c>
      <c r="H1" s="7" t="s">
        <v>42</v>
      </c>
      <c r="I1" s="7" t="s">
        <v>43</v>
      </c>
      <c r="J1" s="7" t="s">
        <v>44</v>
      </c>
      <c r="K1" s="7" t="s">
        <v>45</v>
      </c>
      <c r="L1" s="7" t="s">
        <v>46</v>
      </c>
    </row>
    <row r="5" spans="1:12" x14ac:dyDescent="0.25">
      <c r="C5" t="s">
        <v>53</v>
      </c>
    </row>
    <row r="7" spans="1:12" x14ac:dyDescent="0.25">
      <c r="C7" t="s">
        <v>54</v>
      </c>
    </row>
    <row r="15" spans="1:12" x14ac:dyDescent="0.25">
      <c r="A15" s="7" t="s">
        <v>37</v>
      </c>
      <c r="I15" s="13"/>
      <c r="J15" s="13"/>
      <c r="K15" s="13"/>
      <c r="L15" s="13"/>
    </row>
    <row r="16" spans="1:12" x14ac:dyDescent="0.25">
      <c r="A16" s="7" t="s">
        <v>38</v>
      </c>
      <c r="I16" s="13"/>
      <c r="J16" s="13"/>
      <c r="K16" s="13"/>
      <c r="L16" s="13"/>
    </row>
    <row r="19" spans="1:12" x14ac:dyDescent="0.25">
      <c r="A19" t="s">
        <v>47</v>
      </c>
      <c r="I19" s="13"/>
      <c r="J19" s="13"/>
      <c r="K19" s="13"/>
      <c r="L19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37D86-A501-46EB-9463-7F18DC6294A5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FCF</vt:lpstr>
      <vt:lpstr>WACC</vt:lpstr>
      <vt:lpstr>CCA</vt:lpstr>
      <vt:lpstr>ABOUT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furkan panayir</dc:creator>
  <cp:lastModifiedBy>furkan panayir</cp:lastModifiedBy>
  <dcterms:created xsi:type="dcterms:W3CDTF">2015-06-05T18:17:20Z</dcterms:created>
  <dcterms:modified xsi:type="dcterms:W3CDTF">2024-04-10T21:14:17Z</dcterms:modified>
</cp:coreProperties>
</file>