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urka\Desktop\DOSYALARIM\Az kullandıklarım\Hisse ve Şirket değerleme\2023-2024 OCAK\DONE\"/>
    </mc:Choice>
  </mc:AlternateContent>
  <xr:revisionPtr revIDLastSave="0" documentId="13_ncr:1_{67F1028C-38FE-4CF7-AB37-7AA7DF906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CCA" sheetId="3" r:id="rId3"/>
    <sheet name="ABOU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J16" i="3"/>
  <c r="K16" i="3"/>
  <c r="L16" i="3"/>
  <c r="I16" i="3"/>
  <c r="L15" i="3"/>
  <c r="K15" i="3"/>
  <c r="J15" i="3"/>
  <c r="I15" i="3"/>
  <c r="L3" i="3"/>
  <c r="L4" i="3"/>
  <c r="L5" i="3"/>
  <c r="L6" i="3"/>
  <c r="L2" i="3"/>
  <c r="K3" i="3"/>
  <c r="K4" i="3"/>
  <c r="K5" i="3"/>
  <c r="K6" i="3"/>
  <c r="K2" i="3"/>
  <c r="J3" i="3"/>
  <c r="J4" i="3"/>
  <c r="J5" i="3"/>
  <c r="J6" i="3"/>
  <c r="J2" i="3"/>
  <c r="I3" i="3"/>
  <c r="I4" i="3"/>
  <c r="I5" i="3"/>
  <c r="I6" i="3"/>
  <c r="I2" i="3"/>
  <c r="D6" i="3"/>
  <c r="D5" i="3"/>
  <c r="D4" i="3"/>
  <c r="D3" i="3"/>
  <c r="D2" i="3"/>
  <c r="B29" i="1"/>
  <c r="B27" i="1"/>
  <c r="B25" i="1"/>
  <c r="B22" i="1"/>
  <c r="B13" i="2"/>
  <c r="B9" i="2"/>
  <c r="B14" i="2"/>
  <c r="B15" i="2"/>
  <c r="B4" i="2"/>
  <c r="P21" i="1"/>
  <c r="J28" i="1"/>
  <c r="L21" i="1"/>
  <c r="M21" i="1"/>
  <c r="N21" i="1"/>
  <c r="O21" i="1"/>
  <c r="K21" i="1"/>
  <c r="L9" i="1"/>
  <c r="M9" i="1"/>
  <c r="N9" i="1"/>
  <c r="O9" i="1"/>
  <c r="K9" i="1"/>
  <c r="L8" i="1"/>
  <c r="M8" i="1"/>
  <c r="N8" i="1"/>
  <c r="O8" i="1"/>
  <c r="K8" i="1"/>
  <c r="M15" i="1"/>
  <c r="L15" i="1"/>
  <c r="K15" i="1"/>
  <c r="K14" i="1"/>
  <c r="K13" i="1"/>
  <c r="L13" i="1" s="1"/>
  <c r="J15" i="1"/>
  <c r="J14" i="1"/>
  <c r="J13" i="1"/>
  <c r="M6" i="1"/>
  <c r="N6" i="1" s="1"/>
  <c r="O6" i="1" s="1"/>
  <c r="L6" i="1"/>
  <c r="K6" i="1"/>
  <c r="M2" i="1"/>
  <c r="N2" i="1" s="1"/>
  <c r="O2" i="1" s="1"/>
  <c r="L2" i="1"/>
  <c r="K2" i="1"/>
  <c r="J10" i="1"/>
  <c r="J7" i="1"/>
  <c r="E7" i="1"/>
  <c r="F7" i="1"/>
  <c r="G7" i="1"/>
  <c r="H7" i="1"/>
  <c r="I7" i="1"/>
  <c r="D7" i="1"/>
  <c r="J3" i="1"/>
  <c r="E3" i="1"/>
  <c r="F3" i="1"/>
  <c r="G3" i="1"/>
  <c r="H3" i="1"/>
  <c r="I3" i="1"/>
  <c r="D3" i="1"/>
  <c r="D10" i="1"/>
  <c r="E10" i="1"/>
  <c r="F10" i="1"/>
  <c r="G10" i="1"/>
  <c r="H10" i="1"/>
  <c r="I10" i="1"/>
  <c r="C10" i="1"/>
  <c r="I6" i="1"/>
  <c r="D6" i="1"/>
  <c r="E6" i="1"/>
  <c r="F6" i="1"/>
  <c r="G6" i="1"/>
  <c r="H6" i="1"/>
  <c r="C6" i="1"/>
  <c r="N15" i="1" l="1"/>
  <c r="O15" i="1" s="1"/>
  <c r="L14" i="1"/>
  <c r="M13" i="1"/>
  <c r="N13" i="1" s="1"/>
  <c r="O13" i="1" s="1"/>
  <c r="M14" i="1" l="1"/>
  <c r="N14" i="1" s="1"/>
  <c r="O14" i="1" s="1"/>
</calcChain>
</file>

<file path=xl/sharedStrings.xml><?xml version="1.0" encoding="utf-8"?>
<sst xmlns="http://schemas.openxmlformats.org/spreadsheetml/2006/main" count="57" uniqueCount="54">
  <si>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</si>
  <si>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</si>
  <si>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</si>
  <si>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</si>
  <si>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</si>
  <si>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</si>
  <si>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</si>
  <si>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</si>
  <si>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</si>
  <si>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FCF</t>
  </si>
  <si>
    <t>EV/EBİTDA</t>
  </si>
  <si>
    <t>EV/EBİTDA multiple</t>
  </si>
  <si>
    <t>TERMİNAL VALUE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</si>
  <si>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</si>
  <si>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</si>
  <si>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</si>
  <si>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</si>
  <si>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</si>
  <si>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</si>
  <si>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</si>
  <si>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</si>
  <si>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</si>
  <si>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</si>
  <si>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</si>
  <si>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</si>
  <si>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</si>
  <si>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</si>
  <si>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</si>
  <si>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FOR USA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</si>
  <si>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</si>
  <si>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</si>
  <si>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</si>
  <si>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</si>
  <si>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</si>
  <si>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</si>
  <si>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</si>
  <si>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</si>
  <si>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</si>
  <si>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</si>
  <si>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</si>
  <si>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</si>
  <si>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</si>
  <si>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</si>
  <si>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</si>
  <si>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SECTOR AVERAGES</t>
  </si>
  <si>
    <t>EXİT</t>
  </si>
  <si>
    <t>OPERATING EXPENSES</t>
  </si>
  <si>
    <t>CHANGE IN WORKING CAPITAL</t>
  </si>
  <si>
    <t>FCF=EBIT*(1-TAX RATE)+DEPRECİATİON&amp;AMORTİZATİON-NET CAPEX+INCREASE IN WORKING CAPITAL</t>
  </si>
  <si>
    <t>UNIVERSAL LOGISTICS</t>
  </si>
  <si>
    <t>WERNER ENTERPRISES</t>
  </si>
  <si>
    <t>MARTEN TRANSPORT</t>
  </si>
  <si>
    <t>P.A.M. TRANSPORT</t>
  </si>
  <si>
    <t>MULLEN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</si>
</sst>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0" fontId="0" fillId="0" borderId="0" xfId="0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center"/>
    </xf>
    <xf numFmtId="164" fontId="0" fillId="5" borderId="0" xfId="0" applyNumberFormat="1" applyFill="1"/>
    <xf numFmtId="2" fontId="0" fillId="6" borderId="0" xfId="0" applyNumberFormat="1" applyFill="1"/>
    <xf numFmtId="9" fontId="3" fillId="0" borderId="0" xfId="1" applyFont="1"/>
    <xf numFmtId="164" fontId="0" fillId="0" borderId="0" xfId="1" applyNumberFormat="1" applyFont="1"/>
    <xf numFmtId="9" fontId="0" fillId="0" borderId="0" xfId="1" applyFont="1" applyAlignment="1">
      <alignment horizontal="center"/>
    </xf>
    <xf numFmtId="9" fontId="0" fillId="3" borderId="0" xfId="1" applyFont="1" applyFill="1"/>
    <xf numFmtId="10" fontId="0" fillId="5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VERY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SMALL COMPANY</a:t>
          </a: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Trucking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and warehouse companies are undervalued in general but according to Compared Companies analysis Mullen Goup is approx.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%30 undervalued.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FCF estimates %200+ growth potential but sector averages are low. 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In summary it is a small company but can be good opportunity to invest in.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B29" sqref="B29"/>
    </sheetView>
  </sheetViews>
  <sheetFormatPr defaultColWidth="18.7109375" defaultRowHeight="15" x14ac:dyDescent="0.25"/>
  <cols>
    <col min="1" max="1" width="30.7109375" customWidth="1"/>
  </cols>
  <sheetData>
    <row r="1" spans="1:16" x14ac:dyDescent="0.25">
      <c r="A1" s="16"/>
      <c r="B1" s="14">
        <v>2016</v>
      </c>
      <c r="C1" s="14">
        <v>2017</v>
      </c>
      <c r="D1" s="7">
        <v>2018</v>
      </c>
      <c r="E1" s="14">
        <v>2019</v>
      </c>
      <c r="F1" s="14">
        <v>2020</v>
      </c>
      <c r="G1" s="14">
        <v>2021</v>
      </c>
      <c r="H1" s="14">
        <v>2022</v>
      </c>
      <c r="I1" s="14">
        <v>2023</v>
      </c>
      <c r="J1" s="15" t="s">
        <v>1</v>
      </c>
      <c r="K1" s="14">
        <v>2024</v>
      </c>
      <c r="L1" s="14">
        <v>2025</v>
      </c>
      <c r="M1" s="14">
        <v>2026</v>
      </c>
      <c r="N1" s="14">
        <v>2027</v>
      </c>
      <c r="O1" s="14">
        <v>2028</v>
      </c>
      <c r="P1" s="17" t="s">
        <v>45</v>
      </c>
    </row>
    <row r="2" spans="1:16" x14ac:dyDescent="0.25">
      <c r="A2" s="7" t="s">
        <v>0</v>
      </c>
      <c r="B2" s="1"/>
      <c r="C2" s="1">
        <v>905650000</v>
      </c>
      <c r="D2" s="1">
        <v>923120000</v>
      </c>
      <c r="E2" s="1">
        <v>985930000</v>
      </c>
      <c r="F2" s="1">
        <v>913920000</v>
      </c>
      <c r="G2" s="1">
        <v>1170000000</v>
      </c>
      <c r="H2" s="1">
        <v>1470000000</v>
      </c>
      <c r="I2" s="1">
        <v>1510000000</v>
      </c>
      <c r="J2" s="1"/>
      <c r="K2" s="1">
        <f>I2+I2*J3</f>
        <v>1655492044.7565529</v>
      </c>
      <c r="L2" s="1">
        <f>K2+K2*$J$3</f>
        <v>1815002589.5710149</v>
      </c>
      <c r="M2" s="1">
        <f t="shared" ref="M2:O2" si="0">L2+L2*$J$3</f>
        <v>1989882349.8326874</v>
      </c>
      <c r="N2" s="1">
        <f t="shared" si="0"/>
        <v>2181612185.5294638</v>
      </c>
      <c r="O2" s="1">
        <f t="shared" si="0"/>
        <v>2391815640.9854202</v>
      </c>
    </row>
    <row r="3" spans="1:16" x14ac:dyDescent="0.25">
      <c r="A3" s="20"/>
      <c r="B3" s="2"/>
      <c r="C3" s="2"/>
      <c r="D3" s="2">
        <f>D2/C2-1</f>
        <v>1.9290012698062187E-2</v>
      </c>
      <c r="E3" s="2">
        <f t="shared" ref="E3:I3" si="1">E2/D2-1</f>
        <v>6.8040991420400321E-2</v>
      </c>
      <c r="F3" s="2">
        <f t="shared" si="1"/>
        <v>-7.3037639589017433E-2</v>
      </c>
      <c r="G3" s="2">
        <f t="shared" si="1"/>
        <v>0.28019957983193278</v>
      </c>
      <c r="H3" s="2">
        <f t="shared" si="1"/>
        <v>0.25641025641025639</v>
      </c>
      <c r="I3" s="2">
        <f t="shared" si="1"/>
        <v>2.7210884353741527E-2</v>
      </c>
      <c r="J3" s="2">
        <f>AVERAGE(D3:I3)</f>
        <v>9.6352347520895956E-2</v>
      </c>
      <c r="K3" s="2"/>
      <c r="L3" s="2"/>
      <c r="M3" s="2"/>
      <c r="N3" s="2"/>
      <c r="O3" s="2"/>
    </row>
    <row r="4" spans="1:16" x14ac:dyDescent="0.25">
      <c r="A4" s="7" t="s">
        <v>2</v>
      </c>
      <c r="B4" s="1"/>
      <c r="C4" s="1">
        <v>716680000</v>
      </c>
      <c r="D4" s="1">
        <v>725080000</v>
      </c>
      <c r="E4" s="1">
        <v>787680000</v>
      </c>
      <c r="F4" s="1">
        <v>704990000</v>
      </c>
      <c r="G4" s="1">
        <v>924510000</v>
      </c>
      <c r="H4" s="1">
        <v>1140000000</v>
      </c>
      <c r="I4" s="1">
        <v>1150000000</v>
      </c>
      <c r="J4" s="1"/>
      <c r="K4" s="1"/>
      <c r="L4" s="1"/>
      <c r="M4" s="1"/>
      <c r="N4" s="1"/>
      <c r="O4" s="1"/>
      <c r="P4" s="1"/>
    </row>
    <row r="5" spans="1:16" x14ac:dyDescent="0.25">
      <c r="A5" s="7" t="s">
        <v>46</v>
      </c>
      <c r="B5" s="1"/>
      <c r="C5" s="1">
        <v>116810000</v>
      </c>
      <c r="D5" s="1">
        <v>124960000</v>
      </c>
      <c r="E5" s="1">
        <v>128690000</v>
      </c>
      <c r="F5" s="1">
        <v>117360000</v>
      </c>
      <c r="G5" s="1">
        <v>145920000</v>
      </c>
      <c r="H5" s="1">
        <v>180460000</v>
      </c>
      <c r="I5" s="1">
        <v>196760000</v>
      </c>
      <c r="J5" s="1"/>
      <c r="K5" s="1"/>
      <c r="L5" s="1"/>
      <c r="M5" s="1"/>
      <c r="N5" s="1"/>
      <c r="O5" s="1"/>
      <c r="P5" s="1"/>
    </row>
    <row r="6" spans="1:16" x14ac:dyDescent="0.25">
      <c r="A6" s="7" t="s">
        <v>3</v>
      </c>
      <c r="B6" s="1"/>
      <c r="C6" s="1">
        <f>C4+C5</f>
        <v>833490000</v>
      </c>
      <c r="D6" s="1">
        <f t="shared" ref="D6:H6" si="2">D4+D5</f>
        <v>850040000</v>
      </c>
      <c r="E6" s="1">
        <f t="shared" si="2"/>
        <v>916370000</v>
      </c>
      <c r="F6" s="1">
        <f t="shared" si="2"/>
        <v>822350000</v>
      </c>
      <c r="G6" s="1">
        <f t="shared" si="2"/>
        <v>1070430000</v>
      </c>
      <c r="H6" s="1">
        <f t="shared" si="2"/>
        <v>1320460000</v>
      </c>
      <c r="I6" s="1">
        <f>I4+I5</f>
        <v>1346760000</v>
      </c>
      <c r="J6" s="1"/>
      <c r="K6" s="1">
        <f>I6+I6*J7</f>
        <v>1470315304.1719971</v>
      </c>
      <c r="L6" s="1">
        <f>K6+K6*$J$7</f>
        <v>1605205896.8802104</v>
      </c>
      <c r="M6" s="1">
        <f t="shared" ref="M6:O6" si="3">L6+L6*$J$7</f>
        <v>1752471707.3050208</v>
      </c>
      <c r="N6" s="1">
        <f t="shared" si="3"/>
        <v>1913248070.4646714</v>
      </c>
      <c r="O6" s="1">
        <f t="shared" si="3"/>
        <v>2088774479.997735</v>
      </c>
      <c r="P6" s="1"/>
    </row>
    <row r="7" spans="1:16" x14ac:dyDescent="0.25">
      <c r="A7" s="20"/>
      <c r="B7" s="2"/>
      <c r="C7" s="2"/>
      <c r="D7" s="2">
        <f>D6/C6-1</f>
        <v>1.9856267021799878E-2</v>
      </c>
      <c r="E7" s="2">
        <f t="shared" ref="E7:I7" si="4">E6/D6-1</f>
        <v>7.8031622041315751E-2</v>
      </c>
      <c r="F7" s="2">
        <f t="shared" si="4"/>
        <v>-0.1026004779728712</v>
      </c>
      <c r="G7" s="2">
        <f t="shared" si="4"/>
        <v>0.30167203745363902</v>
      </c>
      <c r="H7" s="2">
        <f t="shared" si="4"/>
        <v>0.23357902898835037</v>
      </c>
      <c r="I7" s="2">
        <f t="shared" si="4"/>
        <v>1.9917301546430899E-2</v>
      </c>
      <c r="J7" s="2">
        <f>AVERAGE(D7:I7)</f>
        <v>9.1742629846444115E-2</v>
      </c>
      <c r="K7" s="2"/>
      <c r="L7" s="2"/>
      <c r="M7" s="2"/>
      <c r="N7" s="2"/>
      <c r="O7" s="2"/>
    </row>
    <row r="8" spans="1:16" x14ac:dyDescent="0.25">
      <c r="A8" s="7" t="s">
        <v>4</v>
      </c>
      <c r="B8" s="1"/>
      <c r="C8" s="1">
        <v>75160000</v>
      </c>
      <c r="D8" s="1">
        <v>73080000</v>
      </c>
      <c r="E8" s="1">
        <v>69560000</v>
      </c>
      <c r="F8" s="1">
        <v>91570000</v>
      </c>
      <c r="G8" s="1">
        <v>97630000</v>
      </c>
      <c r="H8" s="1">
        <v>158130000</v>
      </c>
      <c r="I8" s="1">
        <v>160760000</v>
      </c>
      <c r="J8" s="1"/>
      <c r="K8" s="1">
        <f>K2-K6</f>
        <v>185176740.58455586</v>
      </c>
      <c r="L8" s="1">
        <f t="shared" ref="L8:O8" si="5">L2-L6</f>
        <v>209796692.69080448</v>
      </c>
      <c r="M8" s="1">
        <f t="shared" si="5"/>
        <v>237410642.52766657</v>
      </c>
      <c r="N8" s="1">
        <f t="shared" si="5"/>
        <v>268364115.06479239</v>
      </c>
      <c r="O8" s="1">
        <f t="shared" si="5"/>
        <v>303041160.9876852</v>
      </c>
      <c r="P8" s="1"/>
    </row>
    <row r="9" spans="1:16" x14ac:dyDescent="0.25">
      <c r="A9" s="7" t="s">
        <v>5</v>
      </c>
      <c r="B9" s="1"/>
      <c r="C9" s="1">
        <v>13390000</v>
      </c>
      <c r="D9" s="1">
        <v>12590000</v>
      </c>
      <c r="E9" s="1">
        <v>6090000</v>
      </c>
      <c r="F9" s="1">
        <v>17390000</v>
      </c>
      <c r="G9" s="1">
        <v>18630000</v>
      </c>
      <c r="H9" s="1">
        <v>38550000</v>
      </c>
      <c r="I9" s="1">
        <v>35020000</v>
      </c>
      <c r="J9" s="1"/>
      <c r="K9" s="1">
        <f>K8*$J$10</f>
        <v>33869868.519634277</v>
      </c>
      <c r="L9" s="1">
        <f t="shared" ref="L9:O9" si="6">L8*$J$10</f>
        <v>38372996.386373937</v>
      </c>
      <c r="M9" s="1">
        <f t="shared" si="6"/>
        <v>43423743.296217211</v>
      </c>
      <c r="N9" s="1">
        <f t="shared" si="6"/>
        <v>49085307.711645745</v>
      </c>
      <c r="O9" s="1">
        <f t="shared" si="6"/>
        <v>55427934.665495776</v>
      </c>
      <c r="P9" s="1"/>
    </row>
    <row r="10" spans="1:16" x14ac:dyDescent="0.25">
      <c r="A10" s="7" t="s">
        <v>6</v>
      </c>
      <c r="B10" s="1"/>
      <c r="C10" s="2">
        <f>C9/C8</f>
        <v>0.17815327301756254</v>
      </c>
      <c r="D10" s="2">
        <f t="shared" ref="D10:I10" si="7">D9/D8</f>
        <v>0.17227695675971538</v>
      </c>
      <c r="E10" s="2">
        <f t="shared" si="7"/>
        <v>8.7550316273720535E-2</v>
      </c>
      <c r="F10" s="2">
        <f t="shared" si="7"/>
        <v>0.18990935896035818</v>
      </c>
      <c r="G10" s="2">
        <f t="shared" si="7"/>
        <v>0.19082249308614155</v>
      </c>
      <c r="H10" s="2">
        <f t="shared" si="7"/>
        <v>0.24378675773098085</v>
      </c>
      <c r="I10" s="2">
        <f t="shared" si="7"/>
        <v>0.21784025877083851</v>
      </c>
      <c r="J10" s="2">
        <f>AVERAGE(C10:I10)</f>
        <v>0.18290563065704538</v>
      </c>
      <c r="K10" s="1"/>
      <c r="L10" s="1"/>
      <c r="M10" s="1"/>
      <c r="N10" s="1"/>
      <c r="O10" s="1"/>
      <c r="P10" s="1"/>
    </row>
    <row r="11" spans="1:16" x14ac:dyDescent="0.25">
      <c r="A11" s="7"/>
    </row>
    <row r="12" spans="1:16" x14ac:dyDescent="0.25">
      <c r="A12" s="7"/>
      <c r="J12" s="2"/>
    </row>
    <row r="13" spans="1:16" x14ac:dyDescent="0.25">
      <c r="A13" s="7" t="s">
        <v>7</v>
      </c>
      <c r="B13" s="1"/>
      <c r="C13" s="1">
        <v>69100000</v>
      </c>
      <c r="D13" s="1">
        <v>64070000</v>
      </c>
      <c r="E13" s="1">
        <v>85990000</v>
      </c>
      <c r="F13" s="1">
        <v>79760000</v>
      </c>
      <c r="G13" s="1">
        <v>90120000</v>
      </c>
      <c r="H13" s="1">
        <v>83020000</v>
      </c>
      <c r="I13" s="1">
        <v>87460000</v>
      </c>
      <c r="J13" s="21">
        <f>AVERAGE(C13:I13)</f>
        <v>79931428.571428567</v>
      </c>
      <c r="K13" s="21">
        <f t="shared" ref="K13:O13" si="8">AVERAGE(D13:J13)</f>
        <v>81478775.510204077</v>
      </c>
      <c r="L13" s="21">
        <f t="shared" si="8"/>
        <v>83965743.440233231</v>
      </c>
      <c r="M13" s="21">
        <f t="shared" si="8"/>
        <v>83676563.931695119</v>
      </c>
      <c r="N13" s="21">
        <f t="shared" si="8"/>
        <v>84236073.064794421</v>
      </c>
      <c r="O13" s="21">
        <f t="shared" si="8"/>
        <v>83395512.074050769</v>
      </c>
      <c r="P13" s="1"/>
    </row>
    <row r="14" spans="1:16" x14ac:dyDescent="0.25">
      <c r="A14" s="7" t="s">
        <v>8</v>
      </c>
      <c r="B14" s="1"/>
      <c r="C14" s="1">
        <v>31610000</v>
      </c>
      <c r="D14" s="1">
        <v>79040000</v>
      </c>
      <c r="E14" s="1">
        <v>58130000</v>
      </c>
      <c r="F14" s="1">
        <v>51160000</v>
      </c>
      <c r="G14" s="1">
        <v>56700000</v>
      </c>
      <c r="H14" s="1">
        <v>60060000</v>
      </c>
      <c r="I14" s="1">
        <v>76820000</v>
      </c>
      <c r="J14" s="21">
        <f>AVERAGE(C14:I14)</f>
        <v>59074285.714285716</v>
      </c>
      <c r="K14" s="21">
        <f t="shared" ref="K14:O14" si="9">AVERAGE(D14:J14)</f>
        <v>62997755.10204082</v>
      </c>
      <c r="L14" s="21">
        <f t="shared" si="9"/>
        <v>60706005.830903791</v>
      </c>
      <c r="M14" s="21">
        <f t="shared" si="9"/>
        <v>61074006.663890049</v>
      </c>
      <c r="N14" s="21">
        <f t="shared" si="9"/>
        <v>62490293.330160059</v>
      </c>
      <c r="O14" s="21">
        <f t="shared" si="9"/>
        <v>63317478.091611497</v>
      </c>
      <c r="P14" s="1"/>
    </row>
    <row r="15" spans="1:16" x14ac:dyDescent="0.25">
      <c r="A15" s="7" t="s">
        <v>47</v>
      </c>
      <c r="B15" s="1"/>
      <c r="C15" s="1">
        <v>9830000</v>
      </c>
      <c r="D15" s="1">
        <v>19370000</v>
      </c>
      <c r="E15" s="1">
        <v>359000</v>
      </c>
      <c r="F15" s="1">
        <v>-17730000</v>
      </c>
      <c r="G15" s="1">
        <v>4440000</v>
      </c>
      <c r="H15" s="1">
        <v>21290000</v>
      </c>
      <c r="I15" s="1">
        <v>-10500000</v>
      </c>
      <c r="J15" s="21">
        <f>AVERAGE(C15:I15)</f>
        <v>3865571.4285714286</v>
      </c>
      <c r="K15" s="21">
        <f t="shared" ref="K15:O15" si="10">AVERAGE(D15:J15)</f>
        <v>3013510.2040816327</v>
      </c>
      <c r="L15" s="21">
        <f>AVERAGE(E15:K15)+3000000</f>
        <v>3676868.8046647231</v>
      </c>
      <c r="M15" s="21">
        <f>AVERAGE(F15:L15)+3000000</f>
        <v>4150850.0624739695</v>
      </c>
      <c r="N15" s="21">
        <f t="shared" si="10"/>
        <v>4276685.7856845362</v>
      </c>
      <c r="O15" s="21">
        <f t="shared" si="10"/>
        <v>4253355.1836394705</v>
      </c>
      <c r="P15" s="1"/>
    </row>
    <row r="16" spans="1:16" x14ac:dyDescent="0.25">
      <c r="B16" s="1"/>
      <c r="C16" s="1"/>
      <c r="D16" s="1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</row>
    <row r="17" spans="1:16" x14ac:dyDescent="0.25">
      <c r="B17" s="1"/>
      <c r="C17" s="1"/>
      <c r="D17" s="1"/>
      <c r="E17" s="1"/>
      <c r="F17" s="1"/>
      <c r="G17" s="1"/>
      <c r="H17" s="1"/>
      <c r="I17" s="1"/>
      <c r="J17" s="2"/>
      <c r="K17" s="1"/>
      <c r="L17" s="1"/>
      <c r="M17" s="1"/>
      <c r="N17" s="1"/>
      <c r="O17" s="1"/>
    </row>
    <row r="20" spans="1:16" x14ac:dyDescent="0.25">
      <c r="P20" s="1"/>
    </row>
    <row r="21" spans="1:16" x14ac:dyDescent="0.25">
      <c r="J21" s="5" t="s">
        <v>9</v>
      </c>
      <c r="K21" s="6">
        <f>K8-K9+K13-K14+K15</f>
        <v>172801402.67716646</v>
      </c>
      <c r="L21" s="6">
        <f t="shared" ref="L21:O21" si="11">L8-L9+L13-L14+L15</f>
        <v>198360302.71842471</v>
      </c>
      <c r="M21" s="6">
        <f t="shared" si="11"/>
        <v>220740306.56172839</v>
      </c>
      <c r="N21" s="6">
        <f t="shared" si="11"/>
        <v>245301272.87346557</v>
      </c>
      <c r="O21" s="6">
        <f t="shared" si="11"/>
        <v>271944615.48826814</v>
      </c>
      <c r="P21" s="6">
        <f>O21*J26</f>
        <v>2719446154.8826814</v>
      </c>
    </row>
    <row r="22" spans="1:16" x14ac:dyDescent="0.25">
      <c r="A22" s="7" t="s">
        <v>13</v>
      </c>
      <c r="B22" s="18">
        <f>NPV(FCF!B13,K21:P21)</f>
        <v>3828594055.2017345</v>
      </c>
      <c r="I22" t="s">
        <v>48</v>
      </c>
    </row>
    <row r="23" spans="1:16" x14ac:dyDescent="0.25">
      <c r="A23" s="7" t="s">
        <v>14</v>
      </c>
      <c r="B23" s="18">
        <v>1730000</v>
      </c>
    </row>
    <row r="24" spans="1:16" x14ac:dyDescent="0.25">
      <c r="A24" s="7" t="s">
        <v>15</v>
      </c>
      <c r="B24" s="18">
        <v>580000000</v>
      </c>
    </row>
    <row r="25" spans="1:16" x14ac:dyDescent="0.25">
      <c r="A25" s="7" t="s">
        <v>16</v>
      </c>
      <c r="B25" s="18">
        <f>B22+B23-B24</f>
        <v>3250324055.2017345</v>
      </c>
    </row>
    <row r="26" spans="1:16" x14ac:dyDescent="0.25">
      <c r="A26" t="s">
        <v>17</v>
      </c>
      <c r="B26" s="19">
        <v>88060000</v>
      </c>
      <c r="I26" t="s">
        <v>11</v>
      </c>
      <c r="J26" s="4">
        <v>10</v>
      </c>
    </row>
    <row r="27" spans="1:16" x14ac:dyDescent="0.25">
      <c r="A27" s="7" t="s">
        <v>18</v>
      </c>
      <c r="B27" s="18">
        <f>B25/B26</f>
        <v>36.910334490140073</v>
      </c>
      <c r="I27" t="s">
        <v>10</v>
      </c>
      <c r="J27" s="1"/>
    </row>
    <row r="28" spans="1:16" x14ac:dyDescent="0.25">
      <c r="A28" s="12" t="s">
        <v>29</v>
      </c>
      <c r="B28" s="18">
        <v>10.68</v>
      </c>
      <c r="I28" t="s">
        <v>12</v>
      </c>
      <c r="J28" s="1">
        <f>O21*J26</f>
        <v>2719446154.8826814</v>
      </c>
    </row>
    <row r="29" spans="1:16" x14ac:dyDescent="0.25">
      <c r="A29" s="7" t="s">
        <v>30</v>
      </c>
      <c r="B29" s="24">
        <f>B27/B28-1</f>
        <v>2.4560238286648008</v>
      </c>
    </row>
    <row r="34" spans="2:15" x14ac:dyDescent="0.25">
      <c r="B34" s="14"/>
      <c r="C34" s="14"/>
      <c r="D34" s="7"/>
      <c r="E34" s="14"/>
      <c r="F34" s="14"/>
      <c r="G34" s="14"/>
      <c r="H34" s="14"/>
      <c r="I34" s="14"/>
      <c r="J34" s="15"/>
      <c r="K34" s="14"/>
      <c r="L34" s="14"/>
      <c r="M34" s="14"/>
      <c r="N34" s="14"/>
      <c r="O3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13" sqref="B13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19</v>
      </c>
      <c r="B4" s="10">
        <f>B5+B6*B7</f>
        <v>9.8129999999999995E-2</v>
      </c>
      <c r="C4" s="9"/>
    </row>
    <row r="5" spans="1:13" x14ac:dyDescent="0.25">
      <c r="A5" t="s">
        <v>20</v>
      </c>
      <c r="B5" s="22">
        <v>4.5999999999999999E-2</v>
      </c>
      <c r="D5" t="s">
        <v>28</v>
      </c>
    </row>
    <row r="6" spans="1:13" x14ac:dyDescent="0.25">
      <c r="A6" t="s">
        <v>21</v>
      </c>
      <c r="B6" s="8">
        <v>1.3</v>
      </c>
    </row>
    <row r="7" spans="1:13" x14ac:dyDescent="0.25">
      <c r="A7" t="s">
        <v>22</v>
      </c>
      <c r="B7" s="22">
        <v>4.0099999999999997E-2</v>
      </c>
      <c r="D7" t="s">
        <v>28</v>
      </c>
    </row>
    <row r="9" spans="1:13" x14ac:dyDescent="0.25">
      <c r="A9" s="7" t="s">
        <v>23</v>
      </c>
      <c r="B9" s="10">
        <f>B10*(1-B11)+1.5%</f>
        <v>4.5399999999999996E-2</v>
      </c>
    </row>
    <row r="10" spans="1:13" x14ac:dyDescent="0.25">
      <c r="A10" t="s">
        <v>27</v>
      </c>
      <c r="B10" s="2">
        <v>3.7999999999999999E-2</v>
      </c>
      <c r="L10" s="9"/>
      <c r="M10" s="4"/>
    </row>
    <row r="11" spans="1:13" x14ac:dyDescent="0.25">
      <c r="A11" t="s">
        <v>6</v>
      </c>
      <c r="B11" s="2">
        <v>0.2</v>
      </c>
      <c r="L11" s="2"/>
    </row>
    <row r="13" spans="1:13" x14ac:dyDescent="0.25">
      <c r="A13" s="7" t="s">
        <v>24</v>
      </c>
      <c r="B13" s="9">
        <f>(B4*B14)+((B15*B9)*(1-B11))+1%</f>
        <v>7.5860363636363629E-2</v>
      </c>
    </row>
    <row r="14" spans="1:13" x14ac:dyDescent="0.25">
      <c r="A14" t="s">
        <v>25</v>
      </c>
      <c r="B14" s="2">
        <f>1-B15</f>
        <v>0.47792207792207797</v>
      </c>
    </row>
    <row r="15" spans="1:13" x14ac:dyDescent="0.25">
      <c r="A15" t="s">
        <v>26</v>
      </c>
      <c r="B15" s="2">
        <f>804/1540</f>
        <v>0.52207792207792203</v>
      </c>
    </row>
    <row r="16" spans="1:13" x14ac:dyDescent="0.25">
      <c r="E16" s="11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M19"/>
  <sheetViews>
    <sheetView workbookViewId="0">
      <selection activeCell="C38" sqref="C38"/>
    </sheetView>
  </sheetViews>
  <sheetFormatPr defaultColWidth="15.7109375" defaultRowHeight="15" x14ac:dyDescent="0.25"/>
  <cols>
    <col min="1" max="1" width="20.7109375" customWidth="1"/>
    <col min="3" max="6" width="17.7109375" bestFit="1" customWidth="1"/>
    <col min="7" max="7" width="16" bestFit="1" customWidth="1"/>
    <col min="8" max="8" width="17.7109375" bestFit="1" customWidth="1"/>
  </cols>
  <sheetData>
    <row r="1" spans="1:13" x14ac:dyDescent="0.25">
      <c r="A1" s="7" t="s">
        <v>31</v>
      </c>
      <c r="B1" s="7" t="s">
        <v>33</v>
      </c>
      <c r="C1" s="7" t="s">
        <v>32</v>
      </c>
      <c r="D1" s="7" t="s">
        <v>36</v>
      </c>
      <c r="E1" s="7" t="s">
        <v>37</v>
      </c>
      <c r="F1" s="7" t="s">
        <v>38</v>
      </c>
      <c r="G1" s="7" t="s">
        <v>4</v>
      </c>
      <c r="H1" s="7" t="s">
        <v>39</v>
      </c>
      <c r="I1" s="7" t="s">
        <v>40</v>
      </c>
      <c r="J1" s="7" t="s">
        <v>41</v>
      </c>
      <c r="K1" s="7" t="s">
        <v>42</v>
      </c>
      <c r="L1" s="7" t="s">
        <v>43</v>
      </c>
    </row>
    <row r="2" spans="1:13" x14ac:dyDescent="0.25">
      <c r="A2" t="s">
        <v>51</v>
      </c>
      <c r="B2" s="1">
        <v>18.29</v>
      </c>
      <c r="C2" s="1">
        <v>1490000000</v>
      </c>
      <c r="D2" s="1">
        <f>C2+247000000-53000000</f>
        <v>1684000000</v>
      </c>
      <c r="E2" s="1">
        <v>1130000000</v>
      </c>
      <c r="F2" s="1">
        <v>1930000000</v>
      </c>
      <c r="G2" s="1">
        <v>76500000</v>
      </c>
      <c r="H2" s="1">
        <v>70000000</v>
      </c>
      <c r="I2">
        <f>D2/E2</f>
        <v>1.4902654867256637</v>
      </c>
      <c r="J2">
        <f>D2/F2</f>
        <v>0.87253886010362691</v>
      </c>
      <c r="K2">
        <f>D2/G2</f>
        <v>22.013071895424837</v>
      </c>
      <c r="L2">
        <f>C2/H2</f>
        <v>21.285714285714285</v>
      </c>
    </row>
    <row r="3" spans="1:13" x14ac:dyDescent="0.25">
      <c r="A3" t="s">
        <v>49</v>
      </c>
      <c r="B3" s="1">
        <v>36.74</v>
      </c>
      <c r="C3" s="1">
        <v>966420000</v>
      </c>
      <c r="D3" s="1">
        <f>C3+771000000-250000000</f>
        <v>1487420000</v>
      </c>
      <c r="E3" s="1">
        <v>1660000000</v>
      </c>
      <c r="F3" s="1">
        <v>222000000</v>
      </c>
      <c r="G3" s="1">
        <v>145000000</v>
      </c>
      <c r="H3" s="1">
        <v>92900000</v>
      </c>
      <c r="I3">
        <f t="shared" ref="I3:I6" si="0">D3/E3</f>
        <v>0.89603614457831327</v>
      </c>
      <c r="J3">
        <f t="shared" ref="J3:J6" si="1">D3/F3</f>
        <v>6.7000900900900904</v>
      </c>
      <c r="K3">
        <f t="shared" ref="K3:K6" si="2">D3/G3</f>
        <v>10.258068965517241</v>
      </c>
      <c r="L3">
        <f t="shared" ref="L3:L6" si="3">C3/H3</f>
        <v>10.402798708288483</v>
      </c>
    </row>
    <row r="4" spans="1:13" x14ac:dyDescent="0.25">
      <c r="A4" t="s">
        <v>50</v>
      </c>
      <c r="B4" s="1">
        <v>38.56</v>
      </c>
      <c r="C4" s="1">
        <v>2450000000</v>
      </c>
      <c r="D4" s="1">
        <f>C4+1670000000-61000000</f>
        <v>4059000000</v>
      </c>
      <c r="E4" s="1">
        <v>3280000000</v>
      </c>
      <c r="F4" s="1">
        <v>429000000</v>
      </c>
      <c r="G4" s="1">
        <v>129000000</v>
      </c>
      <c r="H4" s="1">
        <v>112000000</v>
      </c>
      <c r="I4">
        <f t="shared" si="0"/>
        <v>1.2375</v>
      </c>
      <c r="J4">
        <f t="shared" si="1"/>
        <v>9.4615384615384617</v>
      </c>
      <c r="K4">
        <f t="shared" si="2"/>
        <v>31.465116279069768</v>
      </c>
      <c r="L4">
        <f t="shared" si="3"/>
        <v>21.875</v>
      </c>
    </row>
    <row r="5" spans="1:13" x14ac:dyDescent="0.25">
      <c r="A5" t="s">
        <v>52</v>
      </c>
      <c r="B5" s="1">
        <v>15.77</v>
      </c>
      <c r="C5" s="1">
        <v>347000000</v>
      </c>
      <c r="D5" s="1">
        <f>C5+450000000-143000000</f>
        <v>654000000</v>
      </c>
      <c r="E5" s="1">
        <v>810000000</v>
      </c>
      <c r="F5" s="1">
        <v>98000000</v>
      </c>
      <c r="G5" s="1">
        <v>29000000</v>
      </c>
      <c r="H5" s="1">
        <v>18400000</v>
      </c>
      <c r="I5">
        <f t="shared" si="0"/>
        <v>0.80740740740740746</v>
      </c>
      <c r="J5">
        <f t="shared" si="1"/>
        <v>6.6734693877551017</v>
      </c>
      <c r="K5">
        <f t="shared" si="2"/>
        <v>22.551724137931036</v>
      </c>
      <c r="L5">
        <f t="shared" si="3"/>
        <v>18.858695652173914</v>
      </c>
    </row>
    <row r="6" spans="1:13" x14ac:dyDescent="0.25">
      <c r="A6" t="s">
        <v>53</v>
      </c>
      <c r="B6" s="1">
        <v>10.68</v>
      </c>
      <c r="C6" s="1">
        <v>940630000</v>
      </c>
      <c r="D6" s="1">
        <f>C6+804000000</f>
        <v>1744630000</v>
      </c>
      <c r="E6" s="1">
        <v>1510000000</v>
      </c>
      <c r="F6" s="1">
        <v>248000000</v>
      </c>
      <c r="G6" s="1">
        <v>160000000</v>
      </c>
      <c r="H6" s="1">
        <v>103000000</v>
      </c>
      <c r="I6">
        <f t="shared" si="0"/>
        <v>1.155384105960265</v>
      </c>
      <c r="J6">
        <f t="shared" si="1"/>
        <v>7.0347983870967745</v>
      </c>
      <c r="K6">
        <f t="shared" si="2"/>
        <v>10.9039375</v>
      </c>
      <c r="L6">
        <f t="shared" si="3"/>
        <v>9.1323300970873795</v>
      </c>
    </row>
    <row r="7" spans="1:13" x14ac:dyDescent="0.25">
      <c r="B7" s="1"/>
      <c r="C7" s="1"/>
      <c r="D7" s="1"/>
      <c r="E7" s="1"/>
      <c r="F7" s="1"/>
      <c r="G7" s="1"/>
      <c r="H7" s="1"/>
    </row>
    <row r="8" spans="1:13" x14ac:dyDescent="0.25">
      <c r="B8" s="1"/>
      <c r="C8" s="1"/>
      <c r="D8" s="1"/>
      <c r="E8" s="1"/>
      <c r="F8" s="1"/>
      <c r="G8" s="1"/>
      <c r="H8" s="1"/>
    </row>
    <row r="15" spans="1:13" x14ac:dyDescent="0.25">
      <c r="A15" s="7" t="s">
        <v>34</v>
      </c>
      <c r="I15" s="13">
        <f>AVERAGE(I2:I14)</f>
        <v>1.11731862893433</v>
      </c>
      <c r="J15" s="13">
        <f>AVERAGE(J3:J6)</f>
        <v>7.4674740816201073</v>
      </c>
      <c r="K15" s="13">
        <f>AVERAGE(K2:K3,K5:K6)</f>
        <v>16.431700624718278</v>
      </c>
      <c r="L15" s="13">
        <f>AVERAGE(L3:L6)</f>
        <v>15.067206114387446</v>
      </c>
    </row>
    <row r="16" spans="1:13" x14ac:dyDescent="0.25">
      <c r="A16" s="7" t="s">
        <v>35</v>
      </c>
      <c r="I16" s="23">
        <f>I15/I6-1</f>
        <v>-3.2946166413028499E-2</v>
      </c>
      <c r="J16" s="23">
        <f>J15/J6-1</f>
        <v>6.1505059664104467E-2</v>
      </c>
      <c r="K16" s="23">
        <f t="shared" ref="K16:L16" si="4">K15/K6-1</f>
        <v>0.50695110135382548</v>
      </c>
      <c r="L16" s="23">
        <f t="shared" si="4"/>
        <v>0.64987532800559911</v>
      </c>
      <c r="M16" s="3">
        <f>AVERAGE(I16:L16)</f>
        <v>0.29634633065262517</v>
      </c>
    </row>
    <row r="19" spans="1:12" x14ac:dyDescent="0.25">
      <c r="A19" t="s">
        <v>44</v>
      </c>
      <c r="I19" s="13"/>
      <c r="J19" s="13"/>
      <c r="K19" s="13"/>
      <c r="L19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FCF</vt:lpstr>
      <vt:lpstr>WACC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2024-04-12T13:10:27Z</dcterms:modified>
</cp:coreProperties>
</file>