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81920A8E-ABC8-4DAD-9F6C-C859E55F70C9}" xr6:coauthVersionLast="47" xr6:coauthVersionMax="47" xr10:uidLastSave="{00000000-0000-0000-0000-000000000000}"/>
  <bookViews>
    <workbookView xWindow="1560" yWindow="1560" windowWidth="21600" windowHeight="11235" xr2:uid="{00000000-000D-0000-FFFF-FFFF00000000}"/>
  </bookViews>
  <sheets>
    <sheet name="FCF" sheetId="1" r:id="rId1"/>
    <sheet name="WACC" sheetId="2" r:id="rId2"/>
    <sheet name="CCA" sheetId="3" r:id="rId3"/>
    <sheet name="ABOU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K16" i="3"/>
  <c r="L16" i="3"/>
  <c r="I16" i="3"/>
  <c r="K15" i="3"/>
  <c r="J15" i="3"/>
  <c r="L15" i="3"/>
  <c r="I15" i="3"/>
  <c r="L6" i="3"/>
  <c r="K6" i="3"/>
  <c r="J6" i="3"/>
  <c r="I6" i="3"/>
  <c r="D6" i="3"/>
  <c r="L3" i="3"/>
  <c r="L4" i="3"/>
  <c r="L5" i="3"/>
  <c r="K3" i="3"/>
  <c r="K4" i="3"/>
  <c r="K5" i="3"/>
  <c r="J3" i="3"/>
  <c r="J4" i="3"/>
  <c r="J5" i="3"/>
  <c r="I3" i="3"/>
  <c r="I4" i="3"/>
  <c r="I5" i="3"/>
  <c r="L2" i="3"/>
  <c r="K2" i="3"/>
  <c r="J2" i="3"/>
  <c r="I2" i="3"/>
  <c r="D5" i="3"/>
  <c r="D4" i="3"/>
  <c r="D3" i="3"/>
  <c r="D2" i="3"/>
  <c r="E24" i="1"/>
  <c r="B13" i="2"/>
  <c r="P21" i="1"/>
  <c r="B4" i="2"/>
  <c r="B9" i="2"/>
  <c r="B15" i="2"/>
  <c r="B14" i="2"/>
  <c r="J27" i="1"/>
  <c r="L21" i="1"/>
  <c r="M21" i="1"/>
  <c r="N21" i="1"/>
  <c r="O21" i="1"/>
  <c r="L15" i="1"/>
  <c r="M15" i="1"/>
  <c r="N15" i="1"/>
  <c r="O15" i="1"/>
  <c r="K15" i="1"/>
  <c r="K21" i="1" s="1"/>
  <c r="L9" i="1"/>
  <c r="M9" i="1"/>
  <c r="N9" i="1"/>
  <c r="O9" i="1"/>
  <c r="K9" i="1"/>
  <c r="L8" i="1"/>
  <c r="M8" i="1"/>
  <c r="N8" i="1"/>
  <c r="O8" i="1"/>
  <c r="K8" i="1"/>
  <c r="M6" i="1"/>
  <c r="N6" i="1" s="1"/>
  <c r="O6" i="1" s="1"/>
  <c r="L6" i="1"/>
  <c r="K6" i="1"/>
  <c r="J10" i="1"/>
  <c r="E10" i="1"/>
  <c r="G10" i="1"/>
  <c r="H10" i="1"/>
  <c r="I10" i="1"/>
  <c r="C10" i="1"/>
  <c r="M2" i="1"/>
  <c r="N2" i="1" s="1"/>
  <c r="O2" i="1" s="1"/>
  <c r="L2" i="1"/>
  <c r="K2" i="1"/>
  <c r="J7" i="1"/>
  <c r="D7" i="1"/>
  <c r="E7" i="1"/>
  <c r="F7" i="1"/>
  <c r="G7" i="1"/>
  <c r="H7" i="1"/>
  <c r="I7" i="1"/>
  <c r="C7" i="1"/>
  <c r="D6" i="1"/>
  <c r="E6" i="1"/>
  <c r="F6" i="1"/>
  <c r="G6" i="1"/>
  <c r="H6" i="1"/>
  <c r="I6" i="1"/>
  <c r="C6" i="1"/>
  <c r="J3" i="1"/>
  <c r="E3" i="1"/>
  <c r="F3" i="1"/>
  <c r="G3" i="1"/>
  <c r="H3" i="1"/>
  <c r="I3" i="1"/>
  <c r="D3" i="1"/>
  <c r="B22" i="1" l="1"/>
  <c r="B25" i="1" s="1"/>
  <c r="B27" i="1" s="1"/>
  <c r="B29" i="1" s="1"/>
</calcChain>
</file>

<file path=xl/sharedStrings.xml><?xml version="1.0" encoding="utf-8"?>
<sst xmlns="http://schemas.openxmlformats.org/spreadsheetml/2006/main" count="60" uniqueCount="57">
  <si>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</si>
  <si>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</si>
  <si>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</si>
  <si>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</si>
  <si>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</si>
  <si>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</si>
  <si>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</si>
  <si>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</si>
  <si>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</si>
  <si>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(CHANGE IN WORKING CAPITAL)</t>
  </si>
  <si>
    <t>FCF</t>
  </si>
  <si>
    <t>EV/EBİTDA</t>
  </si>
  <si>
    <t>EV/EBİTDA multiple</t>
  </si>
  <si>
    <t>TERMİNAL VALUE</t>
  </si>
  <si>
    <t>FCF=EBIT*(1-TAX RATE)+DEPRECİATİON&amp;AMORTİZATİON-NET CAPEX-INCREASE IN WORKING CAPITAL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</si>
  <si>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</si>
  <si>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</si>
  <si>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</si>
  <si>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</si>
  <si>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</si>
  <si>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</si>
  <si>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</si>
  <si>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</si>
  <si>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</si>
  <si>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</si>
  <si>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</si>
  <si>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</si>
  <si>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</si>
  <si>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</si>
  <si>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</si>
  <si>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(X)TAX SHIELD</t>
  </si>
  <si>
    <t>FOR USA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</si>
  <si>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</si>
  <si>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</si>
  <si>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</si>
  <si>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</si>
  <si>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</si>
  <si>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</si>
  <si>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</si>
  <si>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</si>
  <si>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</si>
  <si>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</si>
  <si>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</si>
  <si>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</si>
  <si>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</si>
  <si>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</si>
  <si>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</si>
  <si>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EXİT</t>
  </si>
  <si>
    <t>OPERATING EXPENSES</t>
  </si>
  <si>
    <t>RITHM CAPITAL MANAGEMENT</t>
  </si>
  <si>
    <t>-------</t>
  </si>
  <si>
    <t>Arbor Reality Trust</t>
  </si>
  <si>
    <t xml:space="preserve">Blackstone mortgage </t>
  </si>
  <si>
    <t>Starwood property</t>
  </si>
  <si>
    <t>Hannon Armstrong</t>
  </si>
  <si>
    <t>Discounted Dividends model</t>
  </si>
  <si>
    <t>Rithm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</si>
</sst>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2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164" fontId="0" fillId="5" borderId="0" xfId="0" applyNumberFormat="1" applyFill="1"/>
    <xf numFmtId="164" fontId="0" fillId="0" borderId="0" xfId="0" quotePrefix="1" applyNumberFormat="1"/>
    <xf numFmtId="9" fontId="0" fillId="0" borderId="0" xfId="1" applyFont="1" applyAlignment="1">
      <alignment horizontal="center"/>
    </xf>
    <xf numFmtId="43" fontId="0" fillId="6" borderId="0" xfId="2" applyFont="1" applyFill="1"/>
    <xf numFmtId="9" fontId="0" fillId="3" borderId="0" xfId="1" applyFont="1" applyFill="1"/>
    <xf numFmtId="10" fontId="0" fillId="5" borderId="0" xfId="1" applyNumberFormat="1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REIT FİRM</a:t>
          </a: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HAS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9% DİVİDENTS ON AVERAGE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DIVIDENDS VALUATION:8,12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DCF VALUATION:42,45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CCA:%125 GROWTH OPPORTUNİTY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BETTER THAN ITS SECTOR BY FAR</a:t>
          </a:r>
        </a:p>
        <a:p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B29" sqref="B29"/>
    </sheetView>
  </sheetViews>
  <sheetFormatPr defaultColWidth="18.7109375" defaultRowHeight="15" x14ac:dyDescent="0.25"/>
  <cols>
    <col min="1" max="1" width="30.7109375" customWidth="1"/>
    <col min="10" max="10" width="19.7109375" bestFit="1" customWidth="1"/>
    <col min="16" max="16" width="19.7109375" bestFit="1" customWidth="1"/>
  </cols>
  <sheetData>
    <row r="1" spans="1:16" x14ac:dyDescent="0.25">
      <c r="A1" s="16" t="s">
        <v>49</v>
      </c>
      <c r="B1" s="14">
        <v>2016</v>
      </c>
      <c r="C1" s="14">
        <v>2017</v>
      </c>
      <c r="D1" s="7">
        <v>2018</v>
      </c>
      <c r="E1" s="14">
        <v>2019</v>
      </c>
      <c r="F1" s="14">
        <v>2020</v>
      </c>
      <c r="G1" s="14">
        <v>2021</v>
      </c>
      <c r="H1" s="14">
        <v>2022</v>
      </c>
      <c r="I1" s="14">
        <v>2023</v>
      </c>
      <c r="J1" s="15" t="s">
        <v>1</v>
      </c>
      <c r="K1" s="14">
        <v>2024</v>
      </c>
      <c r="L1" s="14">
        <v>2025</v>
      </c>
      <c r="M1" s="14">
        <v>2026</v>
      </c>
      <c r="N1" s="14">
        <v>2027</v>
      </c>
      <c r="O1" s="14">
        <v>2028</v>
      </c>
      <c r="P1" s="17" t="s">
        <v>47</v>
      </c>
    </row>
    <row r="2" spans="1:16" x14ac:dyDescent="0.25">
      <c r="A2" s="7" t="s">
        <v>0</v>
      </c>
      <c r="B2" s="1"/>
      <c r="C2" s="1">
        <v>1950000000</v>
      </c>
      <c r="D2" s="1">
        <v>2370000000</v>
      </c>
      <c r="E2" s="1">
        <v>2890000000</v>
      </c>
      <c r="F2" s="1">
        <v>1450000000</v>
      </c>
      <c r="G2" s="1">
        <v>2900000000</v>
      </c>
      <c r="H2" s="1">
        <v>1700000000</v>
      </c>
      <c r="I2" s="1">
        <v>3790000000</v>
      </c>
      <c r="J2" s="1"/>
      <c r="K2" s="1">
        <f>I2+I2*$J$3</f>
        <v>4896770115.5557041</v>
      </c>
      <c r="L2" s="1">
        <f>K2+K2*$J$3</f>
        <v>6326743420.7386341</v>
      </c>
      <c r="M2" s="1">
        <f t="shared" ref="M2:O2" si="0">L2+L2*$J$3</f>
        <v>8174302931.7840672</v>
      </c>
      <c r="N2" s="1">
        <f t="shared" si="0"/>
        <v>10561393749.831028</v>
      </c>
      <c r="O2" s="1">
        <f t="shared" si="0"/>
        <v>13645571845.06316</v>
      </c>
      <c r="P2" s="1"/>
    </row>
    <row r="3" spans="1:16" x14ac:dyDescent="0.25">
      <c r="A3" s="7"/>
      <c r="B3" s="2"/>
      <c r="C3" s="2"/>
      <c r="D3" s="2">
        <f>D2/C2-1</f>
        <v>0.21538461538461529</v>
      </c>
      <c r="E3" s="2">
        <f t="shared" ref="E3:I3" si="1">E2/D2-1</f>
        <v>0.21940928270042193</v>
      </c>
      <c r="F3" s="2">
        <f t="shared" si="1"/>
        <v>-0.4982698961937716</v>
      </c>
      <c r="G3" s="2">
        <f t="shared" si="1"/>
        <v>1</v>
      </c>
      <c r="H3" s="2">
        <f t="shared" si="1"/>
        <v>-0.41379310344827591</v>
      </c>
      <c r="I3" s="2">
        <f t="shared" si="1"/>
        <v>1.2294117647058824</v>
      </c>
      <c r="J3" s="2">
        <f>AVERAGE(D3:I3)</f>
        <v>0.29202377719147871</v>
      </c>
      <c r="K3" s="2"/>
      <c r="L3" s="1"/>
      <c r="M3" s="2"/>
      <c r="N3" s="2"/>
      <c r="O3" s="2"/>
      <c r="P3" s="2"/>
    </row>
    <row r="4" spans="1:16" x14ac:dyDescent="0.25">
      <c r="A4" s="7" t="s">
        <v>2</v>
      </c>
      <c r="B4" s="1"/>
      <c r="C4" s="1">
        <v>355000000</v>
      </c>
      <c r="D4" s="1">
        <v>378000000</v>
      </c>
      <c r="E4" s="1">
        <v>430000000</v>
      </c>
      <c r="F4" s="1">
        <v>305000000</v>
      </c>
      <c r="G4" s="1">
        <v>34200000</v>
      </c>
      <c r="H4" s="1">
        <v>639000000</v>
      </c>
      <c r="I4" s="1">
        <v>174000000</v>
      </c>
      <c r="J4" s="1"/>
      <c r="K4" s="1"/>
      <c r="L4" s="1"/>
      <c r="M4" s="1"/>
      <c r="N4" s="1"/>
      <c r="O4" s="1"/>
      <c r="P4" s="1"/>
    </row>
    <row r="5" spans="1:16" x14ac:dyDescent="0.25">
      <c r="A5" s="7" t="s">
        <v>48</v>
      </c>
      <c r="B5" s="1"/>
      <c r="C5" s="1">
        <v>-101000000</v>
      </c>
      <c r="D5" s="1">
        <v>371000000</v>
      </c>
      <c r="E5" s="1">
        <v>830000000</v>
      </c>
      <c r="F5" s="1">
        <v>1725000000</v>
      </c>
      <c r="G5" s="1">
        <v>993200000</v>
      </c>
      <c r="H5" s="1">
        <v>1060000000</v>
      </c>
      <c r="I5" s="1">
        <v>1440000000</v>
      </c>
      <c r="J5" s="1"/>
      <c r="K5" s="1"/>
      <c r="L5" s="1"/>
      <c r="M5" s="1"/>
      <c r="N5" s="1"/>
      <c r="O5" s="1"/>
      <c r="P5" s="1"/>
    </row>
    <row r="6" spans="1:16" x14ac:dyDescent="0.25">
      <c r="A6" s="7" t="s">
        <v>3</v>
      </c>
      <c r="B6" s="1"/>
      <c r="C6" s="1">
        <f>C4+C5</f>
        <v>254000000</v>
      </c>
      <c r="D6" s="1">
        <f t="shared" ref="D6:I6" si="2">D4+D5</f>
        <v>749000000</v>
      </c>
      <c r="E6" s="1">
        <f t="shared" si="2"/>
        <v>1260000000</v>
      </c>
      <c r="F6" s="1">
        <f t="shared" si="2"/>
        <v>2030000000</v>
      </c>
      <c r="G6" s="1">
        <f t="shared" si="2"/>
        <v>1027400000</v>
      </c>
      <c r="H6" s="1">
        <f t="shared" si="2"/>
        <v>1699000000</v>
      </c>
      <c r="I6" s="1">
        <f t="shared" si="2"/>
        <v>1614000000</v>
      </c>
      <c r="J6" s="1"/>
      <c r="K6" s="1">
        <f>I6+I6*J7</f>
        <v>2156290365.8981581</v>
      </c>
      <c r="L6" s="1">
        <f>K6+K6*$J$7</f>
        <v>2880785713.7950511</v>
      </c>
      <c r="M6" s="1">
        <f t="shared" ref="M6:O6" si="3">L6+L6*$J$7</f>
        <v>3848705378.4840875</v>
      </c>
      <c r="N6" s="1">
        <f t="shared" si="3"/>
        <v>5141837874.1051188</v>
      </c>
      <c r="O6" s="1">
        <f t="shared" si="3"/>
        <v>6869451964.6487818</v>
      </c>
      <c r="P6" s="1"/>
    </row>
    <row r="7" spans="1:16" x14ac:dyDescent="0.25">
      <c r="A7" s="7"/>
      <c r="B7" s="2"/>
      <c r="C7" s="2">
        <f>D6/C6-1</f>
        <v>1.9488188976377954</v>
      </c>
      <c r="D7" s="2">
        <f t="shared" ref="D7:I7" si="4">E6/D6-1</f>
        <v>0.68224299065420557</v>
      </c>
      <c r="E7" s="2">
        <f t="shared" si="4"/>
        <v>0.61111111111111116</v>
      </c>
      <c r="F7" s="2">
        <f t="shared" si="4"/>
        <v>-0.4938916256157635</v>
      </c>
      <c r="G7" s="2">
        <f t="shared" si="4"/>
        <v>0.653688923496204</v>
      </c>
      <c r="H7" s="2">
        <f t="shared" si="4"/>
        <v>-5.0029429075927001E-2</v>
      </c>
      <c r="I7" s="2">
        <f t="shared" si="4"/>
        <v>-1</v>
      </c>
      <c r="J7" s="2">
        <f>AVERAGE(C7:I7)</f>
        <v>0.33599155260108926</v>
      </c>
      <c r="K7" s="2"/>
      <c r="L7" s="2"/>
      <c r="M7" s="2"/>
      <c r="N7" s="2"/>
      <c r="O7" s="2"/>
      <c r="P7" s="2"/>
    </row>
    <row r="8" spans="1:16" x14ac:dyDescent="0.25">
      <c r="A8" s="7" t="s">
        <v>4</v>
      </c>
      <c r="B8" s="1"/>
      <c r="C8" s="1">
        <v>1690000000</v>
      </c>
      <c r="D8" s="1">
        <v>1620000000</v>
      </c>
      <c r="E8" s="1">
        <v>1630000000</v>
      </c>
      <c r="F8" s="1">
        <v>-566000000</v>
      </c>
      <c r="G8" s="1">
        <v>1410000000</v>
      </c>
      <c r="H8" s="1">
        <v>2050000000</v>
      </c>
      <c r="I8" s="1">
        <v>2170000000</v>
      </c>
      <c r="J8" s="1"/>
      <c r="K8" s="1">
        <f>K2-K6</f>
        <v>2740479749.657546</v>
      </c>
      <c r="L8" s="1">
        <f t="shared" ref="L8:O8" si="5">L2-L6</f>
        <v>3445957706.943583</v>
      </c>
      <c r="M8" s="1">
        <f t="shared" si="5"/>
        <v>4325597553.2999802</v>
      </c>
      <c r="N8" s="1">
        <f t="shared" si="5"/>
        <v>5419555875.7259092</v>
      </c>
      <c r="O8" s="1">
        <f t="shared" si="5"/>
        <v>6776119880.4143782</v>
      </c>
      <c r="P8" s="1"/>
    </row>
    <row r="9" spans="1:16" x14ac:dyDescent="0.25">
      <c r="A9" s="7" t="s">
        <v>5</v>
      </c>
      <c r="B9" s="1"/>
      <c r="C9" s="1">
        <v>167000000</v>
      </c>
      <c r="D9" s="1">
        <v>-73000000</v>
      </c>
      <c r="E9" s="1">
        <v>41000000</v>
      </c>
      <c r="F9" s="1">
        <v>16000000</v>
      </c>
      <c r="G9" s="1">
        <v>158000000</v>
      </c>
      <c r="H9" s="1">
        <v>279000000</v>
      </c>
      <c r="I9" s="1">
        <v>122000000</v>
      </c>
      <c r="J9" s="1"/>
      <c r="K9" s="1">
        <f>K8*$J$10</f>
        <v>234774400.28830737</v>
      </c>
      <c r="L9" s="1">
        <f t="shared" ref="L9:O9" si="6">L8*$J$10</f>
        <v>295212053.3522085</v>
      </c>
      <c r="M9" s="1">
        <f t="shared" si="6"/>
        <v>370569996.58234137</v>
      </c>
      <c r="N9" s="1">
        <f t="shared" si="6"/>
        <v>464288408.15609759</v>
      </c>
      <c r="O9" s="1">
        <f t="shared" si="6"/>
        <v>580504008.98045623</v>
      </c>
      <c r="P9" s="1"/>
    </row>
    <row r="10" spans="1:16" x14ac:dyDescent="0.25">
      <c r="A10" s="7" t="s">
        <v>6</v>
      </c>
      <c r="B10" s="2"/>
      <c r="C10" s="2">
        <f>C9/C8</f>
        <v>9.881656804733728E-2</v>
      </c>
      <c r="D10" s="2"/>
      <c r="E10" s="2">
        <f t="shared" ref="E10:I10" si="7">E9/E8</f>
        <v>2.5153374233128835E-2</v>
      </c>
      <c r="F10" s="2"/>
      <c r="G10" s="2">
        <f t="shared" si="7"/>
        <v>0.11205673758865248</v>
      </c>
      <c r="H10" s="2">
        <f t="shared" si="7"/>
        <v>0.13609756097560977</v>
      </c>
      <c r="I10" s="2">
        <f t="shared" si="7"/>
        <v>5.6221198156682028E-2</v>
      </c>
      <c r="J10" s="2">
        <f>AVERAGE(C10:I10)</f>
        <v>8.5669087800282082E-2</v>
      </c>
      <c r="K10" s="2"/>
      <c r="L10" s="2"/>
      <c r="M10" s="2"/>
      <c r="N10" s="2"/>
      <c r="O10" s="2"/>
      <c r="P10" s="2"/>
    </row>
    <row r="11" spans="1:16" x14ac:dyDescent="0.25">
      <c r="A11" s="7"/>
    </row>
    <row r="12" spans="1:16" x14ac:dyDescent="0.25">
      <c r="A12" s="7"/>
    </row>
    <row r="13" spans="1:16" x14ac:dyDescent="0.25">
      <c r="A13" s="7" t="s">
        <v>7</v>
      </c>
      <c r="B13" s="19" t="s">
        <v>50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x14ac:dyDescent="0.25">
      <c r="A14" s="7" t="s">
        <v>8</v>
      </c>
      <c r="B14" s="19" t="s">
        <v>50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 x14ac:dyDescent="0.25">
      <c r="A15" s="7" t="s">
        <v>9</v>
      </c>
      <c r="B15" s="1"/>
      <c r="C15" s="1">
        <v>4000000</v>
      </c>
      <c r="D15" s="1">
        <v>386000000</v>
      </c>
      <c r="E15" s="1">
        <v>38000000</v>
      </c>
      <c r="F15" s="1">
        <v>255000000</v>
      </c>
      <c r="G15" s="1">
        <v>824000000</v>
      </c>
      <c r="H15" s="1">
        <v>261000000</v>
      </c>
      <c r="I15" s="1">
        <v>-323000000</v>
      </c>
      <c r="J15" s="1"/>
      <c r="K15" s="1">
        <f>AVERAGE(C15:I15)+100000000</f>
        <v>306428571.42857146</v>
      </c>
      <c r="L15" s="1">
        <f t="shared" ref="L15:O15" si="8">AVERAGE(D15:J15)+100000000</f>
        <v>340166666.66666663</v>
      </c>
      <c r="M15" s="1">
        <f t="shared" si="8"/>
        <v>326904761.90476191</v>
      </c>
      <c r="N15" s="1">
        <f t="shared" si="8"/>
        <v>377265873.01587301</v>
      </c>
      <c r="O15" s="1">
        <f t="shared" si="8"/>
        <v>389250000</v>
      </c>
    </row>
    <row r="21" spans="1:16" x14ac:dyDescent="0.25">
      <c r="J21" s="5" t="s">
        <v>10</v>
      </c>
      <c r="K21" s="6">
        <f>K8*(1-$J$10)+$K$13-$K$14-$K$15</f>
        <v>2199276777.9406672</v>
      </c>
      <c r="L21" s="6">
        <f t="shared" ref="L21:O21" si="9">L8*(1-$J$10)+$K$13-$K$14-$K$15</f>
        <v>2844317082.1628027</v>
      </c>
      <c r="M21" s="6">
        <f t="shared" si="9"/>
        <v>3648598985.2890673</v>
      </c>
      <c r="N21" s="6">
        <f t="shared" si="9"/>
        <v>4648838896.1412401</v>
      </c>
      <c r="O21" s="6">
        <f t="shared" si="9"/>
        <v>5889187300.0053501</v>
      </c>
      <c r="P21" s="6">
        <f>(L8+O13)*J26</f>
        <v>51689365604.153748</v>
      </c>
    </row>
    <row r="22" spans="1:16" x14ac:dyDescent="0.25">
      <c r="A22" s="7" t="s">
        <v>15</v>
      </c>
      <c r="B22" s="18">
        <f>NPV(WACC!B13, FCF!K21:P21)</f>
        <v>46862528585.869743</v>
      </c>
      <c r="I22" t="s">
        <v>14</v>
      </c>
    </row>
    <row r="23" spans="1:16" x14ac:dyDescent="0.25">
      <c r="A23" s="7" t="s">
        <v>16</v>
      </c>
      <c r="B23" s="18">
        <v>1650000000</v>
      </c>
      <c r="E23" t="s">
        <v>55</v>
      </c>
    </row>
    <row r="24" spans="1:16" x14ac:dyDescent="0.25">
      <c r="A24" s="7" t="s">
        <v>17</v>
      </c>
      <c r="B24" s="18">
        <v>28000000000</v>
      </c>
      <c r="E24" s="4">
        <f>1/WACC!B4-5%</f>
        <v>8.1172655994772942</v>
      </c>
    </row>
    <row r="25" spans="1:16" x14ac:dyDescent="0.25">
      <c r="A25" s="7" t="s">
        <v>18</v>
      </c>
      <c r="B25" s="18">
        <f>B22+B23-B24</f>
        <v>20512528585.869743</v>
      </c>
    </row>
    <row r="26" spans="1:16" x14ac:dyDescent="0.25">
      <c r="A26" t="s">
        <v>19</v>
      </c>
      <c r="B26" s="21">
        <v>483230000</v>
      </c>
      <c r="I26" t="s">
        <v>12</v>
      </c>
      <c r="J26" s="4">
        <v>15</v>
      </c>
    </row>
    <row r="27" spans="1:16" x14ac:dyDescent="0.25">
      <c r="A27" s="7" t="s">
        <v>20</v>
      </c>
      <c r="B27" s="18">
        <f>B25/B26</f>
        <v>42.44878957405323</v>
      </c>
      <c r="I27" t="s">
        <v>11</v>
      </c>
      <c r="J27" s="1">
        <f>(O8+O13)*J26</f>
        <v>101641798206.21567</v>
      </c>
    </row>
    <row r="28" spans="1:16" x14ac:dyDescent="0.25">
      <c r="A28" s="12" t="s">
        <v>32</v>
      </c>
      <c r="B28" s="18">
        <v>11.13</v>
      </c>
      <c r="I28" t="s">
        <v>13</v>
      </c>
      <c r="J28" s="1"/>
    </row>
    <row r="29" spans="1:16" x14ac:dyDescent="0.25">
      <c r="A29" s="7" t="s">
        <v>33</v>
      </c>
      <c r="B29" s="23">
        <f>B27/B28</f>
        <v>3.8139074190524012</v>
      </c>
    </row>
    <row r="34" spans="2:15" x14ac:dyDescent="0.25">
      <c r="B34" s="14"/>
      <c r="C34" s="14"/>
      <c r="D34" s="7"/>
      <c r="E34" s="14"/>
      <c r="F34" s="14"/>
      <c r="G34" s="14"/>
      <c r="H34" s="14"/>
      <c r="I34" s="14"/>
      <c r="J34" s="15"/>
      <c r="K34" s="14"/>
      <c r="L34" s="14"/>
      <c r="M34" s="14"/>
      <c r="N34" s="14"/>
      <c r="O3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13" sqref="B13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21</v>
      </c>
      <c r="B4" s="10">
        <f>B7+B5*B6</f>
        <v>0.12243999999999999</v>
      </c>
      <c r="C4" s="9"/>
    </row>
    <row r="5" spans="1:13" x14ac:dyDescent="0.25">
      <c r="A5" t="s">
        <v>22</v>
      </c>
      <c r="B5" s="20">
        <v>4.5999999999999999E-2</v>
      </c>
      <c r="D5" t="s">
        <v>31</v>
      </c>
    </row>
    <row r="6" spans="1:13" x14ac:dyDescent="0.25">
      <c r="A6" t="s">
        <v>23</v>
      </c>
      <c r="B6" s="8">
        <v>1.79</v>
      </c>
    </row>
    <row r="7" spans="1:13" x14ac:dyDescent="0.25">
      <c r="A7" t="s">
        <v>24</v>
      </c>
      <c r="B7" s="20">
        <v>4.0099999999999997E-2</v>
      </c>
      <c r="D7" t="s">
        <v>31</v>
      </c>
    </row>
    <row r="9" spans="1:13" x14ac:dyDescent="0.25">
      <c r="A9" s="7" t="s">
        <v>25</v>
      </c>
      <c r="B9" s="10">
        <f>B10*B11</f>
        <v>3.7499999999999999E-2</v>
      </c>
    </row>
    <row r="10" spans="1:13" x14ac:dyDescent="0.25">
      <c r="A10" t="s">
        <v>29</v>
      </c>
      <c r="B10" s="2">
        <v>6.25E-2</v>
      </c>
      <c r="L10" s="9"/>
      <c r="M10" s="4"/>
    </row>
    <row r="11" spans="1:13" x14ac:dyDescent="0.25">
      <c r="A11" t="s">
        <v>30</v>
      </c>
      <c r="B11" s="2">
        <v>0.6</v>
      </c>
      <c r="L11" s="2"/>
    </row>
    <row r="13" spans="1:13" x14ac:dyDescent="0.25">
      <c r="A13" s="7" t="s">
        <v>26</v>
      </c>
      <c r="B13" s="9">
        <f>(B4*B14)+(B9*B15)*0.9</f>
        <v>8.2252343749999998E-2</v>
      </c>
    </row>
    <row r="14" spans="1:13" x14ac:dyDescent="0.25">
      <c r="A14" t="s">
        <v>27</v>
      </c>
      <c r="B14" s="2">
        <f>35/(35+29)</f>
        <v>0.546875</v>
      </c>
    </row>
    <row r="15" spans="1:13" x14ac:dyDescent="0.25">
      <c r="A15" t="s">
        <v>28</v>
      </c>
      <c r="B15" s="2">
        <f>1-B14</f>
        <v>0.453125</v>
      </c>
    </row>
    <row r="16" spans="1:13" x14ac:dyDescent="0.25">
      <c r="E16" s="11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L19"/>
  <sheetViews>
    <sheetView workbookViewId="0">
      <selection activeCell="F12" sqref="F12"/>
    </sheetView>
  </sheetViews>
  <sheetFormatPr defaultColWidth="15.7109375" defaultRowHeight="15" x14ac:dyDescent="0.25"/>
  <cols>
    <col min="1" max="1" width="20.7109375" customWidth="1"/>
    <col min="3" max="3" width="17.7109375" bestFit="1" customWidth="1"/>
    <col min="4" max="5" width="18.7109375" bestFit="1" customWidth="1"/>
    <col min="6" max="7" width="17.7109375" bestFit="1" customWidth="1"/>
    <col min="8" max="8" width="16" bestFit="1" customWidth="1"/>
  </cols>
  <sheetData>
    <row r="1" spans="1:12" x14ac:dyDescent="0.25">
      <c r="A1" s="7" t="s">
        <v>34</v>
      </c>
      <c r="B1" s="7" t="s">
        <v>36</v>
      </c>
      <c r="C1" s="7" t="s">
        <v>35</v>
      </c>
      <c r="D1" s="7" t="s">
        <v>39</v>
      </c>
      <c r="E1" s="7" t="s">
        <v>40</v>
      </c>
      <c r="F1" s="7" t="s">
        <v>41</v>
      </c>
      <c r="G1" s="7" t="s">
        <v>4</v>
      </c>
      <c r="H1" s="7" t="s">
        <v>42</v>
      </c>
      <c r="I1" s="7" t="s">
        <v>43</v>
      </c>
      <c r="J1" s="7" t="s">
        <v>44</v>
      </c>
      <c r="K1" s="7" t="s">
        <v>45</v>
      </c>
      <c r="L1" s="7" t="s">
        <v>46</v>
      </c>
    </row>
    <row r="2" spans="1:12" x14ac:dyDescent="0.25">
      <c r="A2" t="s">
        <v>51</v>
      </c>
      <c r="B2" s="1">
        <v>12.9</v>
      </c>
      <c r="C2" s="1">
        <v>2430000000</v>
      </c>
      <c r="D2" s="1">
        <f>C2+10530000000</f>
        <v>12960000000</v>
      </c>
      <c r="E2" s="1">
        <v>1620000000</v>
      </c>
      <c r="F2" s="1">
        <v>1410000000</v>
      </c>
      <c r="G2" s="1">
        <v>1400000000</v>
      </c>
      <c r="H2" s="1">
        <v>371000000</v>
      </c>
      <c r="I2">
        <f>D2/E2</f>
        <v>8</v>
      </c>
      <c r="J2">
        <f>D2/F2</f>
        <v>9.1914893617021285</v>
      </c>
      <c r="K2">
        <f>D2/G2</f>
        <v>9.257142857142858</v>
      </c>
      <c r="L2">
        <f>C2/H2</f>
        <v>6.5498652291105124</v>
      </c>
    </row>
    <row r="3" spans="1:12" x14ac:dyDescent="0.25">
      <c r="A3" t="s">
        <v>52</v>
      </c>
      <c r="B3" s="1">
        <v>20.21</v>
      </c>
      <c r="C3" s="1">
        <v>3510000000</v>
      </c>
      <c r="D3" s="1">
        <f>C3+19000000000</f>
        <v>22510000000</v>
      </c>
      <c r="E3" s="1">
        <v>2010000000</v>
      </c>
      <c r="F3" s="1">
        <v>1870000000</v>
      </c>
      <c r="G3" s="1">
        <v>1870000000</v>
      </c>
      <c r="H3" s="1">
        <v>250000000</v>
      </c>
      <c r="I3">
        <f>D3/E3</f>
        <v>11.199004975124378</v>
      </c>
      <c r="J3">
        <f t="shared" ref="J3:J6" si="0">D3/F3</f>
        <v>12.037433155080214</v>
      </c>
      <c r="K3">
        <f t="shared" ref="K3:K6" si="1">D3/G3</f>
        <v>12.037433155080214</v>
      </c>
      <c r="L3">
        <f t="shared" ref="L3:L6" si="2">C3/H3</f>
        <v>14.04</v>
      </c>
    </row>
    <row r="4" spans="1:12" x14ac:dyDescent="0.25">
      <c r="A4" t="s">
        <v>53</v>
      </c>
      <c r="B4" s="1">
        <v>20.350000000000001</v>
      </c>
      <c r="C4" s="1">
        <v>6380000000</v>
      </c>
      <c r="D4" s="1">
        <f>C4+19000000000</f>
        <v>25380000000</v>
      </c>
      <c r="E4" s="1">
        <v>2050000000</v>
      </c>
      <c r="F4" s="1">
        <v>1710000000</v>
      </c>
      <c r="G4" s="1">
        <v>1660000000</v>
      </c>
      <c r="H4" s="1">
        <v>332000000</v>
      </c>
      <c r="I4">
        <f t="shared" ref="I4:I6" si="3">D4/E4</f>
        <v>12.380487804878049</v>
      </c>
      <c r="J4">
        <f t="shared" si="0"/>
        <v>14.842105263157896</v>
      </c>
      <c r="K4">
        <f t="shared" si="1"/>
        <v>15.289156626506024</v>
      </c>
      <c r="L4">
        <f t="shared" si="2"/>
        <v>19.216867469879517</v>
      </c>
    </row>
    <row r="5" spans="1:12" x14ac:dyDescent="0.25">
      <c r="A5" t="s">
        <v>54</v>
      </c>
      <c r="B5" s="1">
        <v>26.7</v>
      </c>
      <c r="C5" s="1">
        <v>3000000000</v>
      </c>
      <c r="D5" s="1">
        <f>C5+4160000000</f>
        <v>7160000000</v>
      </c>
      <c r="E5" s="1">
        <v>320000000</v>
      </c>
      <c r="F5" s="1">
        <v>212000000</v>
      </c>
      <c r="G5" s="1">
        <v>210000000</v>
      </c>
      <c r="H5" s="1">
        <v>147000000</v>
      </c>
      <c r="I5">
        <f t="shared" si="3"/>
        <v>22.375</v>
      </c>
      <c r="J5">
        <f t="shared" si="0"/>
        <v>33.773584905660378</v>
      </c>
      <c r="K5">
        <f t="shared" si="1"/>
        <v>34.095238095238095</v>
      </c>
      <c r="L5">
        <f t="shared" si="2"/>
        <v>20.408163265306122</v>
      </c>
    </row>
    <row r="6" spans="1:12" x14ac:dyDescent="0.25">
      <c r="A6" t="s">
        <v>56</v>
      </c>
      <c r="B6" s="1">
        <v>11.13</v>
      </c>
      <c r="C6" s="1">
        <v>5380000000</v>
      </c>
      <c r="D6" s="1">
        <f>C6+24230000000</f>
        <v>29610000000</v>
      </c>
      <c r="E6" s="1">
        <v>3800000000</v>
      </c>
      <c r="F6" s="1">
        <v>2200000000</v>
      </c>
      <c r="G6" s="1">
        <v>2170000000</v>
      </c>
      <c r="H6" s="1">
        <v>622000000</v>
      </c>
      <c r="I6">
        <f t="shared" si="3"/>
        <v>7.7921052631578949</v>
      </c>
      <c r="J6">
        <f t="shared" si="0"/>
        <v>13.459090909090909</v>
      </c>
      <c r="K6">
        <f t="shared" si="1"/>
        <v>13.64516129032258</v>
      </c>
      <c r="L6">
        <f t="shared" si="2"/>
        <v>8.64951768488746</v>
      </c>
    </row>
    <row r="15" spans="1:12" x14ac:dyDescent="0.25">
      <c r="A15" s="7" t="s">
        <v>37</v>
      </c>
      <c r="I15" s="13">
        <f>AVERAGE(I2:I14)</f>
        <v>12.349319608632063</v>
      </c>
      <c r="J15" s="13">
        <f>AVERAGE(J2:J14)</f>
        <v>16.660740718938307</v>
      </c>
      <c r="K15" s="13">
        <f>AVERAGE(K2:K14)</f>
        <v>16.864826404857954</v>
      </c>
      <c r="L15" s="13">
        <f t="shared" ref="L15" si="4">AVERAGE(L2:L14)</f>
        <v>13.772882729836724</v>
      </c>
    </row>
    <row r="16" spans="1:12" x14ac:dyDescent="0.25">
      <c r="A16" s="7" t="s">
        <v>38</v>
      </c>
      <c r="I16" s="22">
        <f>I15/I6</f>
        <v>1.5848502030665936</v>
      </c>
      <c r="J16" s="22">
        <f t="shared" ref="J16:L16" si="5">J15/J6</f>
        <v>1.2378800939434067</v>
      </c>
      <c r="K16" s="22">
        <f t="shared" si="5"/>
        <v>1.2359565450368715</v>
      </c>
      <c r="L16" s="22">
        <f t="shared" si="5"/>
        <v>1.5923295646762903</v>
      </c>
    </row>
    <row r="19" spans="9:12" x14ac:dyDescent="0.25">
      <c r="I19" s="13"/>
      <c r="J19" s="13"/>
      <c r="K19" s="13"/>
      <c r="L1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2024-04-11T17:43:30Z</dcterms:modified>
</cp:coreProperties>
</file>