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e6237f9b02a2a353/Masaüstü/DOSYALARIM/Hisse ve Şirket değerleme/2023-2024 OCAK/"/>
    </mc:Choice>
  </mc:AlternateContent>
  <xr:revisionPtr revIDLastSave="9" documentId="8_{8DFC0D6F-3121-4B43-BAC0-0D3020143DE1}" xr6:coauthVersionLast="47" xr6:coauthVersionMax="47" xr10:uidLastSave="{F8B7F221-BBC1-41FF-AE64-16FA31F92254}"/>
  <bookViews>
    <workbookView xWindow="-120" yWindow="-120" windowWidth="29040" windowHeight="15720" xr2:uid="{00000000-000D-0000-FFFF-FFFF00000000}"/>
  </bookViews>
  <sheets>
    <sheet name="FCF" sheetId="1" r:id="rId1"/>
    <sheet name="WACC" sheetId="2" r:id="rId2"/>
    <sheet name="CCA" sheetId="3" r:id="rId3"/>
    <sheet name="SCHEDULES" sheetId="6" r:id="rId4"/>
    <sheet name="ABOUT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3" l="1"/>
  <c r="K16" i="3" s="1"/>
  <c r="J15" i="3"/>
  <c r="J16" i="3" s="1"/>
  <c r="I16" i="3"/>
  <c r="I15" i="3"/>
  <c r="L7" i="3"/>
  <c r="K7" i="3"/>
  <c r="J7" i="3"/>
  <c r="I7" i="3"/>
  <c r="D7" i="3"/>
  <c r="D6" i="3"/>
  <c r="D5" i="3"/>
  <c r="D4" i="3"/>
  <c r="D3" i="3"/>
  <c r="D2" i="3"/>
  <c r="B21" i="1" l="1"/>
  <c r="L26" i="1" l="1"/>
  <c r="L28" i="1" s="1"/>
  <c r="L25" i="1"/>
  <c r="P20" i="1"/>
  <c r="J3" i="1"/>
  <c r="J8" i="1"/>
  <c r="J15" i="1"/>
  <c r="K14" i="1" l="1"/>
  <c r="L14" i="1" s="1"/>
  <c r="M14" i="1" s="1"/>
  <c r="N14" i="1" s="1"/>
  <c r="O14" i="1" s="1"/>
  <c r="P14" i="1" s="1"/>
  <c r="B4" i="2" l="1"/>
  <c r="B9" i="2"/>
  <c r="I16" i="1" l="1"/>
  <c r="H16" i="1"/>
  <c r="K5" i="1" l="1"/>
  <c r="C7" i="1" l="1"/>
  <c r="D7" i="1"/>
  <c r="E7" i="1"/>
  <c r="F7" i="1"/>
  <c r="G7" i="1"/>
  <c r="K7" i="6" l="1"/>
  <c r="J7" i="6"/>
  <c r="I7" i="6"/>
  <c r="H7" i="6"/>
  <c r="J6" i="6"/>
  <c r="J11" i="6" s="1"/>
  <c r="I6" i="6"/>
  <c r="I11" i="6" s="1"/>
  <c r="H6" i="6"/>
  <c r="H11" i="6" s="1"/>
  <c r="J26" i="6"/>
  <c r="I27" i="6"/>
  <c r="I26" i="6"/>
  <c r="J25" i="6"/>
  <c r="I25" i="6"/>
  <c r="H13" i="6" l="1"/>
  <c r="H12" i="6"/>
  <c r="I12" i="6"/>
  <c r="I13" i="6"/>
  <c r="J13" i="6"/>
  <c r="J12" i="6"/>
  <c r="K19" i="6"/>
  <c r="K18" i="6"/>
  <c r="I28" i="6"/>
  <c r="J27" i="6"/>
  <c r="J28" i="6" s="1"/>
  <c r="I7" i="1" l="1"/>
  <c r="H7" i="1"/>
  <c r="I3" i="1"/>
  <c r="H3" i="1"/>
  <c r="G3" i="1"/>
  <c r="F3" i="1"/>
  <c r="E3" i="1"/>
  <c r="D3" i="1"/>
  <c r="K2" i="1" l="1"/>
  <c r="K15" i="1" s="1"/>
  <c r="F8" i="1"/>
  <c r="I8" i="1"/>
  <c r="E8" i="1"/>
  <c r="D8" i="1"/>
  <c r="H8" i="1"/>
  <c r="G8" i="1"/>
  <c r="L5" i="1" s="1"/>
  <c r="L3" i="3"/>
  <c r="L4" i="3"/>
  <c r="L5" i="3"/>
  <c r="L6" i="3"/>
  <c r="L2" i="3"/>
  <c r="K3" i="3"/>
  <c r="K4" i="3"/>
  <c r="K5" i="3"/>
  <c r="K6" i="3"/>
  <c r="K2" i="3"/>
  <c r="J3" i="3"/>
  <c r="J4" i="3"/>
  <c r="J5" i="3"/>
  <c r="J6" i="3"/>
  <c r="J2" i="3"/>
  <c r="I3" i="3"/>
  <c r="I4" i="3"/>
  <c r="I5" i="3"/>
  <c r="I6" i="3"/>
  <c r="I2" i="3"/>
  <c r="B13" i="2"/>
  <c r="I27" i="1" s="1"/>
  <c r="C10" i="1"/>
  <c r="C12" i="1" s="1"/>
  <c r="D10" i="1"/>
  <c r="D12" i="1" s="1"/>
  <c r="E10" i="1"/>
  <c r="E12" i="1" s="1"/>
  <c r="F10" i="1"/>
  <c r="F12" i="1" s="1"/>
  <c r="G10" i="1"/>
  <c r="G12" i="1" s="1"/>
  <c r="H10" i="1"/>
  <c r="H12" i="1" s="1"/>
  <c r="I10" i="1"/>
  <c r="I12" i="1" s="1"/>
  <c r="M5" i="1" l="1"/>
  <c r="L7" i="6"/>
  <c r="L2" i="1"/>
  <c r="L15" i="1" s="1"/>
  <c r="K6" i="6"/>
  <c r="K17" i="6" s="1"/>
  <c r="N5" i="1" l="1"/>
  <c r="M7" i="6"/>
  <c r="L18" i="6"/>
  <c r="L19" i="6"/>
  <c r="K7" i="1"/>
  <c r="L7" i="1" s="1"/>
  <c r="M2" i="1"/>
  <c r="M15" i="1" s="1"/>
  <c r="L6" i="6"/>
  <c r="L17" i="6" s="1"/>
  <c r="M18" i="6" l="1"/>
  <c r="M26" i="6" s="1"/>
  <c r="M19" i="6"/>
  <c r="M27" i="6" s="1"/>
  <c r="O5" i="1"/>
  <c r="N7" i="6"/>
  <c r="K10" i="1"/>
  <c r="M7" i="1"/>
  <c r="N7" i="1" s="1"/>
  <c r="O7" i="1" s="1"/>
  <c r="P7" i="1" s="1"/>
  <c r="L10" i="1"/>
  <c r="N2" i="1"/>
  <c r="N15" i="1" s="1"/>
  <c r="M6" i="6"/>
  <c r="M17" i="6" s="1"/>
  <c r="L27" i="6"/>
  <c r="L11" i="1" l="1"/>
  <c r="K11" i="1"/>
  <c r="N19" i="6"/>
  <c r="N27" i="6" s="1"/>
  <c r="N18" i="6"/>
  <c r="P5" i="1"/>
  <c r="O7" i="6"/>
  <c r="N26" i="6"/>
  <c r="N10" i="1"/>
  <c r="N11" i="1" s="1"/>
  <c r="M10" i="1"/>
  <c r="O2" i="1"/>
  <c r="N6" i="6"/>
  <c r="N17" i="6" s="1"/>
  <c r="K27" i="6"/>
  <c r="M11" i="1" l="1"/>
  <c r="P2" i="1"/>
  <c r="O15" i="1"/>
  <c r="O19" i="6"/>
  <c r="O27" i="6" s="1"/>
  <c r="O18" i="6"/>
  <c r="O26" i="6" s="1"/>
  <c r="O6" i="6"/>
  <c r="O17" i="6" s="1"/>
  <c r="O10" i="1"/>
  <c r="O11" i="1" s="1"/>
  <c r="K25" i="6"/>
  <c r="P10" i="1" l="1"/>
  <c r="P11" i="1"/>
  <c r="P15" i="1"/>
  <c r="O25" i="6"/>
  <c r="O28" i="6" s="1"/>
  <c r="O16" i="1" s="1"/>
  <c r="O20" i="1" s="1"/>
  <c r="O21" i="1" s="1"/>
  <c r="N25" i="6"/>
  <c r="N28" i="6" s="1"/>
  <c r="N16" i="1" s="1"/>
  <c r="N20" i="1" s="1"/>
  <c r="M25" i="6"/>
  <c r="M28" i="6" s="1"/>
  <c r="M16" i="1" s="1"/>
  <c r="M20" i="1" s="1"/>
  <c r="L25" i="6"/>
  <c r="L26" i="6" l="1"/>
  <c r="L28" i="6" s="1"/>
  <c r="L16" i="1" s="1"/>
  <c r="L20" i="1" s="1"/>
  <c r="K26" i="6" l="1"/>
  <c r="K28" i="6" s="1"/>
  <c r="K16" i="1" s="1"/>
  <c r="K20" i="1" s="1"/>
  <c r="B24" i="1" l="1"/>
  <c r="B26" i="1" s="1"/>
  <c r="B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furkan panayir</author>
  </authors>
  <commentList>
    <comment ref="A6" authorId="0" shapeId="0" xr:uid="{FB46F69F-8FE9-48E1-8D65-8F1EF7870F42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D&amp;A INCLUDED
</t>
        </r>
      </text>
    </comment>
  </commentList>
</comments>
</file>

<file path=xl/sharedStrings.xml><?xml version="1.0" encoding="utf-8"?>
<sst xmlns="http://schemas.openxmlformats.org/spreadsheetml/2006/main" count="90" uniqueCount="79">
  <si>
    <t>REVENUE</t>
  </si>
  <si>
    <t xml:space="preserve">Average 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</si>
  <si>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</si>
  <si>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</si>
  <si>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</si>
  <si>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</si>
  <si>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</si>
  <si>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</si>
  <si>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</si>
  <si>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FCF</t>
  </si>
  <si>
    <t>EV/EBİTDA multiple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</si>
  <si>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</si>
  <si>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</si>
  <si>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</si>
  <si>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</si>
  <si>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</si>
  <si>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</si>
  <si>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</si>
  <si>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</si>
  <si>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</si>
  <si>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</si>
  <si>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</si>
  <si>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</si>
  <si>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</si>
  <si>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</si>
  <si>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</si>
  <si>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</si>
  <si>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</si>
  <si>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</si>
  <si>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</si>
  <si>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</si>
  <si>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</si>
  <si>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</si>
  <si>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</si>
  <si>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</si>
  <si>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</si>
  <si>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</si>
  <si>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</si>
  <si>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</si>
  <si>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</si>
  <si>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CHANGE IN WORKING CAPITAL</t>
  </si>
  <si>
    <t>REVENUE INCREASE</t>
  </si>
  <si>
    <t>INCREASE IN EXPENSES</t>
  </si>
  <si>
    <t>Days in Period</t>
  </si>
  <si>
    <t>Revenue</t>
  </si>
  <si>
    <t>AMOUNTS PER DAY</t>
  </si>
  <si>
    <t>Accounts Receivable</t>
  </si>
  <si>
    <t>(Days)</t>
  </si>
  <si>
    <t>Inventory</t>
  </si>
  <si>
    <t>Accounts Payable</t>
  </si>
  <si>
    <t>TOTAL AMOUNTS</t>
  </si>
  <si>
    <t>CASH CHANGES</t>
  </si>
  <si>
    <t>Cash from Working Capital Items</t>
  </si>
  <si>
    <t>2024 F</t>
  </si>
  <si>
    <t>2025 F</t>
  </si>
  <si>
    <t>2026 F</t>
  </si>
  <si>
    <t>2027 F</t>
  </si>
  <si>
    <t>2028 F</t>
  </si>
  <si>
    <t>2021 A</t>
  </si>
  <si>
    <t>2022 A</t>
  </si>
  <si>
    <t>2023 A</t>
  </si>
  <si>
    <t>MULTIPLE METHOD</t>
  </si>
  <si>
    <t>PERPETUITY METHOD</t>
  </si>
  <si>
    <t xml:space="preserve">TERMINAL GROWTH </t>
  </si>
  <si>
    <t>WEIGHTED TERMINAL VALUE</t>
  </si>
  <si>
    <t>EFFECTIVE TAX RATE FROM EBITDA</t>
  </si>
  <si>
    <t>EBIT (OPERATING INCOME)</t>
  </si>
  <si>
    <t xml:space="preserve">OPERATING EXPENSES </t>
  </si>
  <si>
    <t>WORKING CAPITAL SCHEDULE</t>
  </si>
  <si>
    <t>TERMINAL</t>
  </si>
  <si>
    <t>TRUELIVE</t>
  </si>
  <si>
    <t>-</t>
  </si>
  <si>
    <t>CURALEAF</t>
  </si>
  <si>
    <t>JAZZ PHARMACEUTICALS</t>
  </si>
  <si>
    <t>GREEN THUMB INDUSTRIES</t>
  </si>
  <si>
    <t>CRESCO LABS</t>
  </si>
  <si>
    <t>CANOPY GROWTH</t>
  </si>
  <si>
    <t>MARKET PRICE 7th OF SEPTEMBER</t>
  </si>
  <si>
    <t>FCF=EBIT*(1-TAX RATE)+DEPRECİATİON&amp;AMORTİZATİON-NET CAPEX- NET CHANGE IN WORKING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</si>
</sst>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₺&quot;* #,##0.00_-;\-&quot;₺&quot;* #,##0.00_-;_-&quot;₺&quot;* &quot;-&quot;??_-;_-@_-"/>
    <numFmt numFmtId="164" formatCode="_-[$$-409]* #,##0.00_ ;_-[$$-409]* \-#,##0.00\ ;_-[$$-409]* &quot;-&quot;??_ ;_-@_ "/>
    <numFmt numFmtId="165" formatCode="0.0%"/>
    <numFmt numFmtId="166" formatCode="0&quot;A&quot;"/>
    <numFmt numFmtId="167" formatCode="_(#,##0_)_%;\(#,##0\)_%;_(&quot;–&quot;_)_%;_(@_)_%"/>
    <numFmt numFmtId="168" formatCode="_(#,##0_);\(#,##0\);_(&quot;–&quot;_);_(@_)"/>
    <numFmt numFmtId="169" formatCode="#,##0_);\(#,##0\);\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i/>
      <sz val="9"/>
      <name val="Open Sans"/>
      <family val="2"/>
    </font>
    <font>
      <b/>
      <sz val="10"/>
      <name val="Open Sans"/>
      <family val="2"/>
    </font>
    <font>
      <sz val="14"/>
      <color theme="1"/>
      <name val="Open Sans"/>
      <family val="2"/>
    </font>
    <font>
      <sz val="10"/>
      <color rgb="FF000000"/>
      <name val="Open Sans"/>
      <family val="2"/>
    </font>
    <font>
      <i/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b/>
      <sz val="10"/>
      <color rgb="FF000000"/>
      <name val="Open Sans"/>
      <family val="2"/>
    </font>
    <font>
      <sz val="10"/>
      <color rgb="FF0000FF"/>
      <name val="Open Sans"/>
      <family val="2"/>
    </font>
    <font>
      <sz val="10"/>
      <color theme="4" tint="-0.249977111117893"/>
      <name val="Open Sans"/>
      <family val="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2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3" fillId="0" borderId="0" xfId="0" applyFont="1"/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horizontal="center"/>
    </xf>
    <xf numFmtId="164" fontId="0" fillId="5" borderId="0" xfId="0" applyNumberFormat="1" applyFill="1"/>
    <xf numFmtId="9" fontId="3" fillId="0" borderId="0" xfId="1" applyFont="1"/>
    <xf numFmtId="0" fontId="0" fillId="5" borderId="0" xfId="0" applyFill="1"/>
    <xf numFmtId="9" fontId="0" fillId="3" borderId="0" xfId="1" applyFont="1" applyFill="1"/>
    <xf numFmtId="0" fontId="4" fillId="0" borderId="0" xfId="0" applyFont="1"/>
    <xf numFmtId="9" fontId="4" fillId="0" borderId="0" xfId="1" applyFont="1"/>
    <xf numFmtId="164" fontId="4" fillId="0" borderId="0" xfId="0" applyNumberFormat="1" applyFont="1"/>
    <xf numFmtId="37" fontId="5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right"/>
    </xf>
    <xf numFmtId="37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indent="1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168" fontId="10" fillId="0" borderId="2" xfId="0" applyNumberFormat="1" applyFont="1" applyBorder="1"/>
    <xf numFmtId="168" fontId="10" fillId="0" borderId="0" xfId="0" applyNumberFormat="1" applyFont="1"/>
    <xf numFmtId="168" fontId="10" fillId="0" borderId="3" xfId="0" applyNumberFormat="1" applyFont="1" applyBorder="1"/>
    <xf numFmtId="168" fontId="10" fillId="0" borderId="4" xfId="0" applyNumberFormat="1" applyFont="1" applyBorder="1"/>
    <xf numFmtId="168" fontId="10" fillId="0" borderId="5" xfId="0" applyNumberFormat="1" applyFont="1" applyBorder="1"/>
    <xf numFmtId="0" fontId="13" fillId="0" borderId="0" xfId="0" applyFont="1"/>
    <xf numFmtId="0" fontId="8" fillId="0" borderId="0" xfId="0" applyFont="1"/>
    <xf numFmtId="169" fontId="12" fillId="0" borderId="0" xfId="0" applyNumberFormat="1" applyFont="1"/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168" fontId="12" fillId="0" borderId="0" xfId="0" applyNumberFormat="1" applyFont="1"/>
    <xf numFmtId="0" fontId="7" fillId="0" borderId="0" xfId="0" applyFont="1" applyAlignment="1">
      <alignment horizontal="center"/>
    </xf>
    <xf numFmtId="40" fontId="12" fillId="0" borderId="0" xfId="0" applyNumberFormat="1" applyFont="1"/>
    <xf numFmtId="38" fontId="12" fillId="0" borderId="0" xfId="0" applyNumberFormat="1" applyFont="1"/>
    <xf numFmtId="169" fontId="15" fillId="0" borderId="0" xfId="0" applyNumberFormat="1" applyFont="1"/>
    <xf numFmtId="0" fontId="13" fillId="0" borderId="4" xfId="0" applyFont="1" applyBorder="1"/>
    <xf numFmtId="0" fontId="8" fillId="0" borderId="4" xfId="0" applyFont="1" applyBorder="1"/>
    <xf numFmtId="0" fontId="12" fillId="0" borderId="4" xfId="0" applyFont="1" applyBorder="1"/>
    <xf numFmtId="169" fontId="12" fillId="0" borderId="4" xfId="0" applyNumberFormat="1" applyFont="1" applyBorder="1"/>
    <xf numFmtId="168" fontId="16" fillId="0" borderId="1" xfId="0" applyNumberFormat="1" applyFont="1" applyBorder="1"/>
    <xf numFmtId="0" fontId="16" fillId="0" borderId="0" xfId="0" applyFont="1"/>
    <xf numFmtId="9" fontId="2" fillId="0" borderId="0" xfId="1" applyFont="1"/>
    <xf numFmtId="165" fontId="4" fillId="0" borderId="0" xfId="1" applyNumberFormat="1" applyFont="1" applyAlignment="1">
      <alignment horizontal="center"/>
    </xf>
    <xf numFmtId="10" fontId="4" fillId="0" borderId="0" xfId="1" applyNumberFormat="1" applyFont="1" applyAlignment="1">
      <alignment horizontal="center"/>
    </xf>
    <xf numFmtId="164" fontId="4" fillId="5" borderId="0" xfId="0" applyNumberFormat="1" applyFont="1" applyFill="1"/>
    <xf numFmtId="2" fontId="4" fillId="6" borderId="0" xfId="0" applyNumberFormat="1" applyFont="1" applyFill="1"/>
    <xf numFmtId="164" fontId="4" fillId="0" borderId="0" xfId="2" applyNumberFormat="1" applyFont="1"/>
    <xf numFmtId="164" fontId="0" fillId="0" borderId="0" xfId="2" applyNumberFormat="1" applyFont="1"/>
    <xf numFmtId="164" fontId="19" fillId="0" borderId="0" xfId="0" applyNumberFormat="1" applyFont="1"/>
    <xf numFmtId="0" fontId="19" fillId="0" borderId="0" xfId="0" applyFont="1"/>
    <xf numFmtId="164" fontId="16" fillId="0" borderId="0" xfId="0" applyNumberFormat="1" applyFont="1"/>
    <xf numFmtId="164" fontId="6" fillId="0" borderId="0" xfId="0" applyNumberFormat="1" applyFont="1"/>
    <xf numFmtId="164" fontId="10" fillId="0" borderId="0" xfId="0" applyNumberFormat="1" applyFont="1"/>
    <xf numFmtId="164" fontId="10" fillId="0" borderId="6" xfId="0" applyNumberFormat="1" applyFont="1" applyBorder="1" applyAlignment="1">
      <alignment horizontal="right" vertical="center"/>
    </xf>
    <xf numFmtId="2" fontId="20" fillId="0" borderId="0" xfId="0" applyNumberFormat="1" applyFont="1"/>
    <xf numFmtId="10" fontId="3" fillId="0" borderId="0" xfId="1" applyNumberFormat="1" applyFont="1"/>
    <xf numFmtId="9" fontId="0" fillId="5" borderId="0" xfId="1" applyFont="1" applyFill="1"/>
    <xf numFmtId="165" fontId="0" fillId="3" borderId="0" xfId="1" applyNumberFormat="1" applyFont="1" applyFill="1"/>
    <xf numFmtId="10" fontId="0" fillId="3" borderId="0" xfId="1" applyNumberFormat="1" applyFont="1" applyFill="1"/>
    <xf numFmtId="0" fontId="1" fillId="0" borderId="0" xfId="0" applyFont="1"/>
    <xf numFmtId="0" fontId="0" fillId="7" borderId="0" xfId="0" applyFill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RELATIVE</a:t>
            </a:r>
            <a:r>
              <a:rPr lang="tr-TR" baseline="0"/>
              <a:t> VS INTRINSIC TERMINAL VALUE</a:t>
            </a:r>
          </a:p>
        </c:rich>
      </c:tx>
      <c:layout>
        <c:manualLayout>
          <c:xMode val="edge"/>
          <c:yMode val="edge"/>
          <c:x val="0.21748225290387962"/>
          <c:y val="2.7777898256860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FCF!$H$25:$H$26</c:f>
              <c:strCache>
                <c:ptCount val="2"/>
                <c:pt idx="0">
                  <c:v>EV/EBİTDA multiple</c:v>
                </c:pt>
                <c:pt idx="1">
                  <c:v>TERMINAL GROWTH </c:v>
                </c:pt>
              </c:strCache>
            </c:strRef>
          </c:cat>
          <c:val>
            <c:numRef>
              <c:f>FCF!$L$25:$L$26</c:f>
              <c:numCache>
                <c:formatCode>_-[$$-409]* #,##0.00_ ;_-[$$-409]* \-#,##0.00\ ;_-[$$-409]* "-"??_ ;_-@_ </c:formatCode>
                <c:ptCount val="2"/>
                <c:pt idx="0">
                  <c:v>3098876.4728769376</c:v>
                </c:pt>
                <c:pt idx="1">
                  <c:v>5503771.4021180114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B-40B6-98BC-659B775A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0520184"/>
        <c:axId val="640520544"/>
      </c:barChart>
      <c:catAx>
        <c:axId val="64052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544"/>
        <c:crosses val="autoZero"/>
        <c:auto val="1"/>
        <c:lblAlgn val="ctr"/>
        <c:lblOffset val="100"/>
        <c:noMultiLvlLbl val="0"/>
      </c:catAx>
      <c:valAx>
        <c:axId val="64052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OPERATING</a:t>
            </a:r>
            <a:r>
              <a:rPr lang="tr-TR" baseline="0"/>
              <a:t> </a:t>
            </a:r>
            <a:r>
              <a:rPr lang="tr-TR"/>
              <a:t>INCOME</a:t>
            </a:r>
            <a:r>
              <a:rPr lang="tr-TR" baseline="0"/>
              <a:t>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REVENUE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FCF!$K$1:$O$1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FCF!$K$2:$O$2</c:f>
              <c:numCache>
                <c:formatCode>_-[$$-409]* #,##0.00_ ;_-[$$-409]* \-#,##0.00\ ;_-[$$-409]* "-"??_ ;_-@_ </c:formatCode>
                <c:ptCount val="5"/>
                <c:pt idx="0" formatCode="General">
                  <c:v>1237774.9172673565</c:v>
                </c:pt>
                <c:pt idx="1">
                  <c:v>1431856.7717908518</c:v>
                </c:pt>
                <c:pt idx="2">
                  <c:v>1656370.4647122673</c:v>
                </c:pt>
                <c:pt idx="3">
                  <c:v>1916087.6774984295</c:v>
                </c:pt>
                <c:pt idx="4">
                  <c:v>2216528.286441701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2-4D1A-AFCC-1464CB30B0E5}"/>
            </c:ext>
          </c:extLst>
        </c:ser>
        <c:ser>
          <c:idx val="5"/>
          <c:order val="1"/>
          <c:tx>
            <c:v>TOTAL OPERATING EXPENSE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FCF!$K$1:$O$1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FCF!$K$7:$O$7</c:f>
              <c:numCache>
                <c:formatCode>General</c:formatCode>
                <c:ptCount val="5"/>
                <c:pt idx="0" formatCode="_-[$$-409]* #,##0.00_ ;_-[$$-409]* \-#,##0.00\ ;_-[$$-409]* &quot;-&quot;??_ ;_-@_ ">
                  <c:v>1007283.1676831184</c:v>
                </c:pt>
                <c:pt idx="1">
                  <c:v>1152570.548894977</c:v>
                </c:pt>
                <c:pt idx="2">
                  <c:v>1318813.728651501</c:v>
                </c:pt>
                <c:pt idx="3">
                  <c:v>1509035.3059491185</c:v>
                </c:pt>
                <c:pt idx="4">
                  <c:v>1726693.8500324793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2-4D1A-AFCC-1464CB30B0E5}"/>
            </c:ext>
          </c:extLst>
        </c:ser>
        <c:ser>
          <c:idx val="8"/>
          <c:order val="2"/>
          <c:tx>
            <c:v>EBIT (OPERATING INCOME)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FCF!$K$1:$O$1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FCF!$K$10:$O$10</c:f>
              <c:numCache>
                <c:formatCode>_-[$$-409]* #,##0.00_ ;_-[$$-409]* \-#,##0.00\ ;_-[$$-409]* "-"??_ ;_-@_ </c:formatCode>
                <c:ptCount val="5"/>
                <c:pt idx="0">
                  <c:v>230491.74958423816</c:v>
                </c:pt>
                <c:pt idx="1">
                  <c:v>279286.22289587487</c:v>
                </c:pt>
                <c:pt idx="2">
                  <c:v>337556.73606076627</c:v>
                </c:pt>
                <c:pt idx="3">
                  <c:v>407052.37154931109</c:v>
                </c:pt>
                <c:pt idx="4">
                  <c:v>489834.43640922173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2-4D1A-AFCC-1464CB30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796360"/>
        <c:axId val="686792760"/>
      </c:lineChart>
      <c:catAx>
        <c:axId val="6867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2760"/>
        <c:crosses val="autoZero"/>
        <c:auto val="1"/>
        <c:lblAlgn val="ctr"/>
        <c:lblOffset val="100"/>
        <c:noMultiLvlLbl val="0"/>
      </c:catAx>
      <c:valAx>
        <c:axId val="68679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1047749</xdr:colOff>
      <xdr:row>29</xdr:row>
      <xdr:rowOff>56029</xdr:rowOff>
    </xdr:from>
    <xdr:to>
      <xdr:col>9</xdr:col>
      <xdr:colOff>840441</xdr:colOff>
      <xdr:row>43</xdr:row>
      <xdr:rowOff>155761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0F60F-8042-8876-F030-AEBCBB799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756396</xdr:colOff>
      <xdr:row>29</xdr:row>
      <xdr:rowOff>79561</xdr:rowOff>
    </xdr:from>
    <xdr:to>
      <xdr:col>15</xdr:col>
      <xdr:colOff>352984</xdr:colOff>
      <xdr:row>43</xdr:row>
      <xdr:rowOff>155761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BD7B7E-CAD2-9F8A-D9C2-93DDB85D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One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of the largest market cap cbd/hemp companies. Only one with sustainable net profits and high growing rates. </a:t>
          </a:r>
          <a:endParaRPr lang="en-US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="85" zoomScaleNormal="85" workbookViewId="0">
      <selection activeCell="I21" sqref="I21"/>
    </sheetView>
  </sheetViews>
  <sheetFormatPr defaultColWidth="18.7109375" defaultRowHeight="15" x14ac:dyDescent="0.25"/>
  <cols>
    <col min="1" max="1" width="30.7109375" customWidth="1"/>
  </cols>
  <sheetData>
    <row r="1" spans="1:16" x14ac:dyDescent="0.25">
      <c r="A1" s="14"/>
      <c r="B1" s="12">
        <v>2016</v>
      </c>
      <c r="C1" s="12">
        <v>2017</v>
      </c>
      <c r="D1" s="7">
        <v>2018</v>
      </c>
      <c r="E1" s="12">
        <v>2019</v>
      </c>
      <c r="F1" s="12">
        <v>2020</v>
      </c>
      <c r="G1" s="12">
        <v>2021</v>
      </c>
      <c r="H1" s="12">
        <v>2022</v>
      </c>
      <c r="I1" s="12">
        <v>2023</v>
      </c>
      <c r="J1" s="13" t="s">
        <v>1</v>
      </c>
      <c r="K1" s="12">
        <v>2024</v>
      </c>
      <c r="L1" s="12">
        <v>2025</v>
      </c>
      <c r="M1" s="12">
        <v>2026</v>
      </c>
      <c r="N1" s="12">
        <v>2027</v>
      </c>
      <c r="O1" s="12">
        <v>2028</v>
      </c>
      <c r="P1" s="15" t="s">
        <v>69</v>
      </c>
    </row>
    <row r="2" spans="1:16" x14ac:dyDescent="0.25">
      <c r="A2" s="7" t="s">
        <v>0</v>
      </c>
      <c r="B2" s="20"/>
      <c r="C2" s="22">
        <v>17120</v>
      </c>
      <c r="D2" s="22">
        <v>59310</v>
      </c>
      <c r="E2" s="22">
        <v>221460</v>
      </c>
      <c r="F2" s="22">
        <v>585970</v>
      </c>
      <c r="G2" s="22">
        <v>885700</v>
      </c>
      <c r="H2" s="22">
        <v>997060</v>
      </c>
      <c r="I2" s="22">
        <v>1070000</v>
      </c>
      <c r="J2" s="20"/>
      <c r="K2">
        <f>I2*J3+I2</f>
        <v>1237774.9172673565</v>
      </c>
      <c r="L2" s="1">
        <f>K2+K2*$J$3</f>
        <v>1431856.7717908518</v>
      </c>
      <c r="M2" s="1">
        <f t="shared" ref="M2:O2" si="0">L2+L2*$J$3</f>
        <v>1656370.4647122673</v>
      </c>
      <c r="N2" s="1">
        <f t="shared" si="0"/>
        <v>1916087.6774984295</v>
      </c>
      <c r="O2" s="1">
        <f t="shared" si="0"/>
        <v>2216528.286441701</v>
      </c>
      <c r="P2" s="1">
        <f>O2*(1+J3)</f>
        <v>2564077.6788515253</v>
      </c>
    </row>
    <row r="3" spans="1:16" x14ac:dyDescent="0.25">
      <c r="A3" s="17" t="s">
        <v>41</v>
      </c>
      <c r="C3" s="52"/>
      <c r="D3" s="52">
        <f t="shared" ref="D3:I3" si="1">D2/C2-1</f>
        <v>2.4643691588785046</v>
      </c>
      <c r="E3" s="52">
        <f t="shared" si="1"/>
        <v>2.7339403136064746</v>
      </c>
      <c r="F3" s="52">
        <f t="shared" si="1"/>
        <v>1.6459405761762849</v>
      </c>
      <c r="G3" s="52">
        <f t="shared" si="1"/>
        <v>0.51151082819939586</v>
      </c>
      <c r="H3" s="52">
        <f t="shared" si="1"/>
        <v>0.12573106017838986</v>
      </c>
      <c r="I3" s="52">
        <f t="shared" si="1"/>
        <v>7.3155075923214241E-2</v>
      </c>
      <c r="J3" s="17">
        <f>AVERAGE(G3:I3)-0.08</f>
        <v>0.15679898810033333</v>
      </c>
      <c r="K3" s="2"/>
      <c r="L3" s="2"/>
      <c r="M3" s="2"/>
      <c r="N3" s="2"/>
      <c r="O3" s="2"/>
    </row>
    <row r="5" spans="1:16" x14ac:dyDescent="0.25">
      <c r="A5" s="7" t="s">
        <v>2</v>
      </c>
      <c r="B5" s="20"/>
      <c r="C5" s="57">
        <v>11090</v>
      </c>
      <c r="D5" s="57">
        <v>36080</v>
      </c>
      <c r="E5" s="57">
        <v>139810</v>
      </c>
      <c r="F5" s="57">
        <v>312300</v>
      </c>
      <c r="G5" s="57">
        <v>451780</v>
      </c>
      <c r="H5" s="57">
        <v>505450</v>
      </c>
      <c r="I5" s="57">
        <v>555070</v>
      </c>
      <c r="J5" s="1"/>
      <c r="K5" s="59">
        <f>I5*(1+J6)</f>
        <v>555070</v>
      </c>
      <c r="L5" s="60">
        <f>K5+K5*$J$8</f>
        <v>635131.56488721992</v>
      </c>
      <c r="M5" s="60">
        <f>L5+L5*$J$8</f>
        <v>726740.96008807688</v>
      </c>
      <c r="N5" s="60">
        <f>M5+M5*$J$8</f>
        <v>831563.80861581583</v>
      </c>
      <c r="O5" s="60">
        <f>N5+N5*$J$8</f>
        <v>951505.97775008506</v>
      </c>
      <c r="P5" s="59">
        <f>O5+O5*$J$8</f>
        <v>1088748.2311203196</v>
      </c>
    </row>
    <row r="6" spans="1:16" x14ac:dyDescent="0.25">
      <c r="A6" s="7" t="s">
        <v>67</v>
      </c>
      <c r="B6" s="20"/>
      <c r="C6" s="57">
        <v>11390</v>
      </c>
      <c r="D6" s="57">
        <v>48230</v>
      </c>
      <c r="E6" s="57">
        <v>109980</v>
      </c>
      <c r="F6" s="57">
        <v>161970</v>
      </c>
      <c r="G6" s="57">
        <v>220970</v>
      </c>
      <c r="H6" s="57">
        <v>234320</v>
      </c>
      <c r="I6" s="57">
        <v>325240</v>
      </c>
      <c r="J6" s="1"/>
      <c r="K6" s="1"/>
      <c r="L6" s="1"/>
      <c r="M6" s="1"/>
      <c r="N6" s="1"/>
      <c r="O6" s="1"/>
      <c r="P6" s="1"/>
    </row>
    <row r="7" spans="1:16" x14ac:dyDescent="0.25">
      <c r="A7" s="7" t="s">
        <v>3</v>
      </c>
      <c r="B7" s="1"/>
      <c r="C7" s="58">
        <f t="shared" ref="C7:I7" si="2">SUM(C5:C6)</f>
        <v>22480</v>
      </c>
      <c r="D7" s="58">
        <f t="shared" si="2"/>
        <v>84310</v>
      </c>
      <c r="E7" s="58">
        <f t="shared" si="2"/>
        <v>249790</v>
      </c>
      <c r="F7" s="58">
        <f t="shared" si="2"/>
        <v>474270</v>
      </c>
      <c r="G7" s="58">
        <f t="shared" si="2"/>
        <v>672750</v>
      </c>
      <c r="H7" s="58">
        <f t="shared" si="2"/>
        <v>739770</v>
      </c>
      <c r="I7" s="58">
        <f t="shared" si="2"/>
        <v>880310</v>
      </c>
      <c r="J7" s="1"/>
      <c r="K7" s="1">
        <f>I7*(1+J8)</f>
        <v>1007283.1676831184</v>
      </c>
      <c r="L7">
        <f>K7+K7*$J$8</f>
        <v>1152570.548894977</v>
      </c>
      <c r="M7">
        <f>L7+L7*$J$8</f>
        <v>1318813.728651501</v>
      </c>
      <c r="N7">
        <f>M7+M7*$J$8</f>
        <v>1509035.3059491185</v>
      </c>
      <c r="O7">
        <f>N7+N7*$J$8</f>
        <v>1726693.8500324793</v>
      </c>
      <c r="P7" s="1">
        <f>O7+O7*$J$8</f>
        <v>1975746.7833827573</v>
      </c>
    </row>
    <row r="8" spans="1:16" x14ac:dyDescent="0.25">
      <c r="A8" s="17" t="s">
        <v>42</v>
      </c>
      <c r="B8" s="21"/>
      <c r="C8" s="52"/>
      <c r="D8" s="52">
        <f t="shared" ref="D8" si="3">D7/C7-1</f>
        <v>2.7504448398576513</v>
      </c>
      <c r="E8" s="52">
        <f t="shared" ref="E8" si="4">E7/D7-1</f>
        <v>1.9627564938915905</v>
      </c>
      <c r="F8" s="52">
        <f t="shared" ref="F8" si="5">F7/E7-1</f>
        <v>0.8986748869050003</v>
      </c>
      <c r="G8" s="52">
        <f t="shared" ref="G8" si="6">G7/F7-1</f>
        <v>0.41849579353532795</v>
      </c>
      <c r="H8" s="52">
        <f t="shared" ref="H8" si="7">H7/G7-1</f>
        <v>9.9620958751393429E-2</v>
      </c>
      <c r="I8" s="52">
        <f t="shared" ref="I8" si="8">I7/H7-1</f>
        <v>0.18997796612460638</v>
      </c>
      <c r="J8" s="17">
        <f>AVERAGE(G8,I8)-0.16</f>
        <v>0.14423687982996716</v>
      </c>
      <c r="K8" s="2"/>
      <c r="L8" s="2"/>
      <c r="M8" s="2"/>
      <c r="N8" s="2"/>
      <c r="O8" s="2"/>
    </row>
    <row r="10" spans="1:16" x14ac:dyDescent="0.25">
      <c r="A10" s="7" t="s">
        <v>66</v>
      </c>
      <c r="B10" s="1"/>
      <c r="C10" s="1">
        <f t="shared" ref="C10:P10" si="9">C2-C7</f>
        <v>-5360</v>
      </c>
      <c r="D10" s="1">
        <f t="shared" si="9"/>
        <v>-25000</v>
      </c>
      <c r="E10" s="1">
        <f t="shared" si="9"/>
        <v>-28330</v>
      </c>
      <c r="F10" s="1">
        <f t="shared" si="9"/>
        <v>111700</v>
      </c>
      <c r="G10" s="1">
        <f t="shared" si="9"/>
        <v>212950</v>
      </c>
      <c r="H10" s="1">
        <f t="shared" si="9"/>
        <v>257290</v>
      </c>
      <c r="I10" s="1">
        <f t="shared" si="9"/>
        <v>189690</v>
      </c>
      <c r="J10" s="1"/>
      <c r="K10" s="1">
        <f t="shared" si="9"/>
        <v>230491.74958423816</v>
      </c>
      <c r="L10" s="1">
        <f t="shared" si="9"/>
        <v>279286.22289587487</v>
      </c>
      <c r="M10" s="1">
        <f t="shared" si="9"/>
        <v>337556.73606076627</v>
      </c>
      <c r="N10" s="1">
        <f t="shared" si="9"/>
        <v>407052.37154931109</v>
      </c>
      <c r="O10" s="1">
        <f t="shared" si="9"/>
        <v>489834.43640922173</v>
      </c>
      <c r="P10" s="1">
        <f t="shared" si="9"/>
        <v>588330.89546876797</v>
      </c>
    </row>
    <row r="11" spans="1:16" x14ac:dyDescent="0.25">
      <c r="A11" s="7" t="s">
        <v>5</v>
      </c>
      <c r="B11" s="22"/>
      <c r="C11" s="22"/>
      <c r="D11" s="22">
        <v>6820</v>
      </c>
      <c r="E11" s="22">
        <v>9560</v>
      </c>
      <c r="F11" s="22">
        <v>8828</v>
      </c>
      <c r="G11" s="22">
        <v>123520</v>
      </c>
      <c r="H11" s="22">
        <v>91020</v>
      </c>
      <c r="I11" s="22">
        <v>120810</v>
      </c>
      <c r="J11" s="1"/>
      <c r="K11">
        <f t="shared" ref="K11:P11" si="10">K10*$J$12</f>
        <v>74578.504059188374</v>
      </c>
      <c r="L11">
        <f t="shared" si="10"/>
        <v>90366.569499716861</v>
      </c>
      <c r="M11">
        <f t="shared" si="10"/>
        <v>109220.72679791813</v>
      </c>
      <c r="N11">
        <f t="shared" si="10"/>
        <v>131706.91358216188</v>
      </c>
      <c r="O11">
        <f t="shared" si="10"/>
        <v>158492.091669096</v>
      </c>
      <c r="P11" s="1">
        <f t="shared" si="10"/>
        <v>190361.85961106478</v>
      </c>
    </row>
    <row r="12" spans="1:16" x14ac:dyDescent="0.25">
      <c r="A12" s="7" t="s">
        <v>65</v>
      </c>
      <c r="B12" s="2"/>
      <c r="C12" s="2">
        <f t="shared" ref="C12:I12" si="11">C11/C10</f>
        <v>0</v>
      </c>
      <c r="D12" s="2">
        <f t="shared" si="11"/>
        <v>-0.27279999999999999</v>
      </c>
      <c r="E12" s="2">
        <f t="shared" si="11"/>
        <v>-0.33745146487822097</v>
      </c>
      <c r="F12" s="2">
        <f t="shared" si="11"/>
        <v>7.9033124440465535E-2</v>
      </c>
      <c r="G12" s="2">
        <f t="shared" si="11"/>
        <v>0.58004226344212262</v>
      </c>
      <c r="H12" s="2">
        <f t="shared" si="11"/>
        <v>0.35376423491002373</v>
      </c>
      <c r="I12" s="2">
        <f t="shared" si="11"/>
        <v>0.63688122726553853</v>
      </c>
      <c r="J12" s="66">
        <v>0.32356257520589499</v>
      </c>
      <c r="K12" s="8">
        <v>0.32356257520589499</v>
      </c>
      <c r="L12" s="8">
        <v>0.32356257520589499</v>
      </c>
      <c r="M12" s="8">
        <v>0.32356257520589499</v>
      </c>
      <c r="N12" s="8">
        <v>0.32356257520589499</v>
      </c>
      <c r="O12" s="8">
        <v>0.32356257520589499</v>
      </c>
      <c r="P12" s="8">
        <v>0.32356257520589499</v>
      </c>
    </row>
    <row r="14" spans="1:16" x14ac:dyDescent="0.25">
      <c r="A14" s="7" t="s">
        <v>7</v>
      </c>
      <c r="B14" s="22"/>
      <c r="C14" s="22"/>
      <c r="D14" s="22">
        <v>4920</v>
      </c>
      <c r="E14" s="22">
        <v>39670</v>
      </c>
      <c r="F14" s="22">
        <v>82960</v>
      </c>
      <c r="G14" s="22">
        <v>101680</v>
      </c>
      <c r="H14" s="22">
        <v>92830</v>
      </c>
      <c r="I14" s="22">
        <v>102640</v>
      </c>
      <c r="J14" s="2"/>
      <c r="K14" s="1">
        <f>I14*(1+$J$8)</f>
        <v>117444.47334574783</v>
      </c>
      <c r="L14" s="1">
        <f>K14*(1+$J$8)</f>
        <v>134384.29773441225</v>
      </c>
      <c r="M14" s="1">
        <f t="shared" ref="M14:O14" si="12">L14*(1+$J$8)</f>
        <v>153767.4695377652</v>
      </c>
      <c r="N14" s="1">
        <f t="shared" si="12"/>
        <v>175946.40956324196</v>
      </c>
      <c r="O14" s="1">
        <f t="shared" si="12"/>
        <v>201324.37069592948</v>
      </c>
      <c r="P14" s="1">
        <f>O14*(1+$J$8)-50000</f>
        <v>180362.76975884201</v>
      </c>
    </row>
    <row r="15" spans="1:16" x14ac:dyDescent="0.25">
      <c r="A15" s="7" t="s">
        <v>8</v>
      </c>
      <c r="B15" s="22"/>
      <c r="C15" s="22">
        <v>14980</v>
      </c>
      <c r="D15" s="22">
        <v>26080</v>
      </c>
      <c r="E15" s="22">
        <v>90620</v>
      </c>
      <c r="F15" s="22">
        <v>62960</v>
      </c>
      <c r="G15" s="22">
        <v>186200</v>
      </c>
      <c r="H15" s="22">
        <v>172390</v>
      </c>
      <c r="I15" s="22">
        <v>224070</v>
      </c>
      <c r="J15" s="2">
        <f>I15/I2-0.07</f>
        <v>0.13941121495327102</v>
      </c>
      <c r="K15" s="1">
        <f>K2*$J$15</f>
        <v>172559.70505492669</v>
      </c>
      <c r="L15" s="1">
        <f t="shared" ref="L15:P15" si="13">L2*$J$15</f>
        <v>199616.89219443119</v>
      </c>
      <c r="M15" s="1">
        <f t="shared" si="13"/>
        <v>230916.6188982513</v>
      </c>
      <c r="N15" s="1">
        <f t="shared" si="13"/>
        <v>267124.11107704742</v>
      </c>
      <c r="O15" s="1">
        <f t="shared" si="13"/>
        <v>309008.90139112948</v>
      </c>
      <c r="P15" s="1">
        <f t="shared" si="13"/>
        <v>357461.1844432542</v>
      </c>
    </row>
    <row r="16" spans="1:16" x14ac:dyDescent="0.25">
      <c r="A16" s="7" t="s">
        <v>40</v>
      </c>
      <c r="B16" s="22"/>
      <c r="C16" s="22"/>
      <c r="D16" s="22"/>
      <c r="E16" s="22"/>
      <c r="F16" s="22"/>
      <c r="G16" s="22"/>
      <c r="H16" s="22">
        <f>SCHEDULES!I28</f>
        <v>-32300</v>
      </c>
      <c r="I16" s="22">
        <f>SCHEDULES!J28</f>
        <v>4860</v>
      </c>
      <c r="J16" s="2"/>
      <c r="K16" s="1">
        <f>SCHEDULES!K28</f>
        <v>-10099.835771064656</v>
      </c>
      <c r="L16" s="1">
        <f>SCHEDULES!L28</f>
        <v>-20856.117094468063</v>
      </c>
      <c r="M16" s="1">
        <f>SCHEDULES!M28</f>
        <v>-23948.390314131215</v>
      </c>
      <c r="N16" s="1">
        <f>SCHEDULES!N28</f>
        <v>-27499.862637575654</v>
      </c>
      <c r="O16" s="1">
        <f>SCHEDULES!O28</f>
        <v>-31578.834005853136</v>
      </c>
      <c r="P16" s="1">
        <v>-60845.421815521571</v>
      </c>
    </row>
    <row r="20" spans="1:16" x14ac:dyDescent="0.25">
      <c r="J20" s="5" t="s">
        <v>9</v>
      </c>
      <c r="K20" s="6">
        <f>K10*(1-J12)+K14-K15-K16</f>
        <v>110897.84958693557</v>
      </c>
      <c r="L20" s="6">
        <f t="shared" ref="L20:N20" si="14">L10*(1-K12)+L14-L15-L16</f>
        <v>144543.17603060714</v>
      </c>
      <c r="M20" s="6">
        <f t="shared" si="14"/>
        <v>175135.25021649324</v>
      </c>
      <c r="N20" s="6">
        <f t="shared" si="14"/>
        <v>211667.61909091944</v>
      </c>
      <c r="O20" s="6">
        <f>O10*(1-N12)+O14-O15-O16</f>
        <v>255236.64805077887</v>
      </c>
      <c r="P20" s="6">
        <f>P10*(1-O12)+P14-P15-P16</f>
        <v>281716.04298881249</v>
      </c>
    </row>
    <row r="21" spans="1:16" x14ac:dyDescent="0.25">
      <c r="A21" s="7" t="s">
        <v>11</v>
      </c>
      <c r="B21" s="16">
        <f>NPV(I27,K20:N20,O21)</f>
        <v>4146431.1178083043</v>
      </c>
      <c r="I21" t="s">
        <v>78</v>
      </c>
      <c r="O21" s="6">
        <f>O20+L28</f>
        <v>5358192.2286286112</v>
      </c>
    </row>
    <row r="22" spans="1:16" x14ac:dyDescent="0.25">
      <c r="A22" s="7" t="s">
        <v>12</v>
      </c>
      <c r="B22" s="55">
        <v>160810</v>
      </c>
    </row>
    <row r="23" spans="1:16" x14ac:dyDescent="0.25">
      <c r="A23" s="7" t="s">
        <v>13</v>
      </c>
      <c r="B23" s="55">
        <v>552000</v>
      </c>
    </row>
    <row r="24" spans="1:16" x14ac:dyDescent="0.25">
      <c r="A24" s="7" t="s">
        <v>14</v>
      </c>
      <c r="B24" s="16">
        <f>B21+B22-B23</f>
        <v>3755241.1178083047</v>
      </c>
    </row>
    <row r="25" spans="1:16" x14ac:dyDescent="0.25">
      <c r="A25" t="s">
        <v>15</v>
      </c>
      <c r="B25" s="56">
        <v>235820</v>
      </c>
      <c r="H25" t="s">
        <v>10</v>
      </c>
      <c r="I25">
        <v>11</v>
      </c>
      <c r="J25" s="4"/>
      <c r="K25" t="s">
        <v>61</v>
      </c>
      <c r="L25" s="1">
        <f>P20*I25</f>
        <v>3098876.4728769376</v>
      </c>
    </row>
    <row r="26" spans="1:16" x14ac:dyDescent="0.25">
      <c r="A26" s="7" t="s">
        <v>16</v>
      </c>
      <c r="B26" s="18">
        <f>B24/B25</f>
        <v>15.924184199000528</v>
      </c>
      <c r="H26" t="s">
        <v>63</v>
      </c>
      <c r="I26" s="3">
        <v>0.03</v>
      </c>
      <c r="J26" s="3"/>
      <c r="K26" t="s">
        <v>62</v>
      </c>
      <c r="L26" s="1">
        <f>P20/(I27-I26)</f>
        <v>5503771.4021180114</v>
      </c>
    </row>
    <row r="27" spans="1:16" x14ac:dyDescent="0.25">
      <c r="A27" s="70" t="s">
        <v>77</v>
      </c>
      <c r="B27" s="16">
        <v>9.64</v>
      </c>
      <c r="H27" t="s">
        <v>22</v>
      </c>
      <c r="I27" s="3">
        <f>WACC!B13</f>
        <v>8.1185999999999994E-2</v>
      </c>
    </row>
    <row r="28" spans="1:16" x14ac:dyDescent="0.25">
      <c r="A28" s="7" t="s">
        <v>26</v>
      </c>
      <c r="B28" s="67">
        <f>B26/B27-1</f>
        <v>0.65188632769715005</v>
      </c>
      <c r="K28" t="s">
        <v>64</v>
      </c>
      <c r="L28" s="1">
        <f>(L26*5+L25*1)/6</f>
        <v>5102955.5805778326</v>
      </c>
    </row>
    <row r="31" spans="1:16" x14ac:dyDescent="0.25">
      <c r="K31" s="1"/>
    </row>
    <row r="33" spans="2:15" x14ac:dyDescent="0.25">
      <c r="B33" s="12"/>
      <c r="C33" s="12"/>
      <c r="D33" s="7"/>
      <c r="E33" s="12"/>
      <c r="F33" s="12"/>
      <c r="G33" s="12"/>
      <c r="H33" s="12"/>
      <c r="I33" s="12"/>
      <c r="L33" s="12"/>
      <c r="M33" s="12"/>
      <c r="N33" s="12"/>
      <c r="O33" s="12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B5" sqref="B5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7" t="s">
        <v>17</v>
      </c>
      <c r="B4" s="9">
        <f>B7+B6*B5-0.02</f>
        <v>9.6419999999999992E-2</v>
      </c>
      <c r="C4" s="8"/>
    </row>
    <row r="5" spans="1:13" x14ac:dyDescent="0.25">
      <c r="A5" t="s">
        <v>18</v>
      </c>
      <c r="B5" s="53">
        <v>5.2999999999999999E-2</v>
      </c>
    </row>
    <row r="6" spans="1:13" x14ac:dyDescent="0.25">
      <c r="A6" t="s">
        <v>19</v>
      </c>
      <c r="B6" s="65">
        <v>1.44</v>
      </c>
    </row>
    <row r="7" spans="1:13" x14ac:dyDescent="0.25">
      <c r="A7" t="s">
        <v>20</v>
      </c>
      <c r="B7" s="54">
        <v>4.0099999999999997E-2</v>
      </c>
    </row>
    <row r="9" spans="1:13" x14ac:dyDescent="0.25">
      <c r="A9" s="7" t="s">
        <v>21</v>
      </c>
      <c r="B9" s="3">
        <f>B10*(1-B11)</f>
        <v>2.6999999999999996E-2</v>
      </c>
      <c r="D9" s="3"/>
    </row>
    <row r="10" spans="1:13" x14ac:dyDescent="0.25">
      <c r="A10" t="s">
        <v>25</v>
      </c>
      <c r="B10" s="21">
        <v>3.5999999999999997E-2</v>
      </c>
      <c r="D10" s="8"/>
      <c r="L10" s="8"/>
      <c r="M10" s="4"/>
    </row>
    <row r="11" spans="1:13" x14ac:dyDescent="0.25">
      <c r="A11" t="s">
        <v>6</v>
      </c>
      <c r="B11" s="21">
        <v>0.25</v>
      </c>
      <c r="L11" s="2"/>
    </row>
    <row r="13" spans="1:13" x14ac:dyDescent="0.25">
      <c r="A13" s="7" t="s">
        <v>22</v>
      </c>
      <c r="B13" s="3">
        <f>(B14*B4)+(B15*B9)*(1-B11)</f>
        <v>8.1185999999999994E-2</v>
      </c>
    </row>
    <row r="14" spans="1:13" x14ac:dyDescent="0.25">
      <c r="A14" t="s">
        <v>23</v>
      </c>
      <c r="B14" s="21">
        <v>0.8</v>
      </c>
    </row>
    <row r="15" spans="1:13" x14ac:dyDescent="0.25">
      <c r="A15" t="s">
        <v>24</v>
      </c>
      <c r="B15" s="21">
        <v>0.2</v>
      </c>
    </row>
    <row r="16" spans="1:13" x14ac:dyDescent="0.25">
      <c r="E16" s="10"/>
      <c r="F16" s="3"/>
    </row>
    <row r="17" spans="6:6" x14ac:dyDescent="0.25">
      <c r="F17" s="3"/>
    </row>
    <row r="18" spans="6:6" x14ac:dyDescent="0.25">
      <c r="F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L16"/>
  <sheetViews>
    <sheetView topLeftCell="A4" workbookViewId="0">
      <selection activeCell="J15" sqref="J15"/>
    </sheetView>
  </sheetViews>
  <sheetFormatPr defaultColWidth="15.7109375" defaultRowHeight="15" x14ac:dyDescent="0.25"/>
  <cols>
    <col min="1" max="1" width="20.7109375" customWidth="1"/>
  </cols>
  <sheetData>
    <row r="1" spans="1:12" x14ac:dyDescent="0.25">
      <c r="A1" s="7" t="s">
        <v>27</v>
      </c>
      <c r="B1" s="7" t="s">
        <v>29</v>
      </c>
      <c r="C1" s="7" t="s">
        <v>28</v>
      </c>
      <c r="D1" s="7" t="s">
        <v>32</v>
      </c>
      <c r="E1" s="7" t="s">
        <v>33</v>
      </c>
      <c r="F1" s="7" t="s">
        <v>34</v>
      </c>
      <c r="G1" s="7" t="s">
        <v>4</v>
      </c>
      <c r="H1" s="7" t="s">
        <v>35</v>
      </c>
      <c r="I1" s="7" t="s">
        <v>36</v>
      </c>
      <c r="J1" s="7" t="s">
        <v>37</v>
      </c>
      <c r="K1" s="7" t="s">
        <v>38</v>
      </c>
      <c r="L1" s="7" t="s">
        <v>39</v>
      </c>
    </row>
    <row r="2" spans="1:12" x14ac:dyDescent="0.25">
      <c r="A2" t="s">
        <v>70</v>
      </c>
      <c r="B2" s="1">
        <v>9.7100000000000009</v>
      </c>
      <c r="C2" s="1">
        <v>1820</v>
      </c>
      <c r="D2" s="1">
        <f>C2+800-356</f>
        <v>2264</v>
      </c>
      <c r="E2" s="1">
        <v>1150</v>
      </c>
      <c r="F2" s="1">
        <v>264</v>
      </c>
      <c r="G2" s="1">
        <v>94</v>
      </c>
      <c r="H2" s="1" t="s">
        <v>71</v>
      </c>
      <c r="I2">
        <f>D2/E2</f>
        <v>1.968695652173913</v>
      </c>
      <c r="J2">
        <f>D2/F2</f>
        <v>8.5757575757575761</v>
      </c>
      <c r="K2">
        <f>D2/G2</f>
        <v>24.085106382978722</v>
      </c>
      <c r="L2" t="e">
        <f>C2/H2</f>
        <v>#VALUE!</v>
      </c>
    </row>
    <row r="3" spans="1:12" x14ac:dyDescent="0.25">
      <c r="A3" t="s">
        <v>72</v>
      </c>
      <c r="B3" s="1">
        <v>2.84</v>
      </c>
      <c r="C3" s="1">
        <v>2110</v>
      </c>
      <c r="D3" s="1">
        <f>C3+1050-90</f>
        <v>3070</v>
      </c>
      <c r="E3" s="1">
        <v>1370</v>
      </c>
      <c r="F3" s="1">
        <v>259</v>
      </c>
      <c r="G3" s="1">
        <v>48</v>
      </c>
      <c r="H3" s="1" t="s">
        <v>71</v>
      </c>
      <c r="I3">
        <f t="shared" ref="I3:I7" si="0">D3/E3</f>
        <v>2.2408759124087592</v>
      </c>
      <c r="J3">
        <f t="shared" ref="J3:J7" si="1">D3/F3</f>
        <v>11.853281853281853</v>
      </c>
      <c r="K3">
        <f t="shared" ref="K3:K7" si="2">D3/G3</f>
        <v>63.958333333333336</v>
      </c>
      <c r="L3" t="e">
        <f t="shared" ref="L3:L7" si="3">C3/H3</f>
        <v>#VALUE!</v>
      </c>
    </row>
    <row r="4" spans="1:12" x14ac:dyDescent="0.25">
      <c r="A4" t="s">
        <v>73</v>
      </c>
      <c r="B4" s="1">
        <v>107.14</v>
      </c>
      <c r="C4" s="1">
        <v>6620</v>
      </c>
      <c r="D4" s="1">
        <f>C4+622+5170-2000</f>
        <v>10412</v>
      </c>
      <c r="E4" s="1">
        <v>3830</v>
      </c>
      <c r="F4" s="1">
        <v>1300</v>
      </c>
      <c r="G4" s="1">
        <v>650</v>
      </c>
      <c r="H4" s="1">
        <v>400</v>
      </c>
      <c r="I4">
        <f t="shared" si="0"/>
        <v>2.7185378590078328</v>
      </c>
      <c r="J4">
        <f t="shared" si="1"/>
        <v>8.0092307692307685</v>
      </c>
      <c r="K4">
        <f t="shared" si="2"/>
        <v>16.018461538461537</v>
      </c>
      <c r="L4">
        <f t="shared" si="3"/>
        <v>16.55</v>
      </c>
    </row>
    <row r="5" spans="1:12" x14ac:dyDescent="0.25">
      <c r="A5" t="s">
        <v>75</v>
      </c>
      <c r="B5" s="1">
        <v>1.6</v>
      </c>
      <c r="C5" s="1">
        <v>704</v>
      </c>
      <c r="D5" s="1">
        <f>C5+680-110</f>
        <v>1274</v>
      </c>
      <c r="E5" s="1">
        <v>740</v>
      </c>
      <c r="F5" s="1">
        <v>135</v>
      </c>
      <c r="G5" s="1">
        <v>65</v>
      </c>
      <c r="H5" s="1">
        <v>0</v>
      </c>
      <c r="I5">
        <f t="shared" si="0"/>
        <v>1.7216216216216216</v>
      </c>
      <c r="J5">
        <f t="shared" si="1"/>
        <v>9.4370370370370367</v>
      </c>
      <c r="K5">
        <f t="shared" si="2"/>
        <v>19.600000000000001</v>
      </c>
      <c r="L5" t="e">
        <f t="shared" si="3"/>
        <v>#DIV/0!</v>
      </c>
    </row>
    <row r="6" spans="1:12" x14ac:dyDescent="0.25">
      <c r="A6" t="s">
        <v>76</v>
      </c>
      <c r="B6" s="1">
        <v>4.4800000000000004</v>
      </c>
      <c r="C6" s="1">
        <v>497</v>
      </c>
      <c r="D6" s="1">
        <f>C6+90+400-180</f>
        <v>807</v>
      </c>
      <c r="E6" s="1">
        <v>210</v>
      </c>
      <c r="F6" s="1">
        <v>0</v>
      </c>
      <c r="G6" s="1">
        <v>0</v>
      </c>
      <c r="H6" s="1">
        <v>0</v>
      </c>
      <c r="I6">
        <f t="shared" si="0"/>
        <v>3.842857142857143</v>
      </c>
      <c r="J6" t="e">
        <f t="shared" si="1"/>
        <v>#DIV/0!</v>
      </c>
      <c r="K6" t="e">
        <f t="shared" si="2"/>
        <v>#DIV/0!</v>
      </c>
      <c r="L6" t="e">
        <f t="shared" si="3"/>
        <v>#DIV/0!</v>
      </c>
    </row>
    <row r="7" spans="1:12" x14ac:dyDescent="0.25">
      <c r="A7" t="s">
        <v>74</v>
      </c>
      <c r="B7" s="1">
        <v>9.64</v>
      </c>
      <c r="C7" s="1">
        <v>2270</v>
      </c>
      <c r="D7" s="1">
        <f>C7+570-160</f>
        <v>2680</v>
      </c>
      <c r="E7" s="1">
        <v>1070</v>
      </c>
      <c r="F7" s="1">
        <v>320</v>
      </c>
      <c r="G7" s="1">
        <v>220</v>
      </c>
      <c r="H7" s="1">
        <v>65</v>
      </c>
      <c r="I7">
        <f t="shared" si="0"/>
        <v>2.5046728971962615</v>
      </c>
      <c r="J7">
        <f t="shared" si="1"/>
        <v>8.375</v>
      </c>
      <c r="K7">
        <f t="shared" si="2"/>
        <v>12.181818181818182</v>
      </c>
      <c r="L7">
        <f t="shared" si="3"/>
        <v>34.92307692307692</v>
      </c>
    </row>
    <row r="8" spans="1:12" x14ac:dyDescent="0.25">
      <c r="B8" s="1"/>
      <c r="C8" s="1"/>
      <c r="D8" s="1"/>
      <c r="E8" s="1"/>
      <c r="F8" s="1"/>
      <c r="G8" s="1"/>
      <c r="H8" s="1"/>
    </row>
    <row r="9" spans="1:12" x14ac:dyDescent="0.25">
      <c r="B9" s="1"/>
      <c r="C9" s="1"/>
      <c r="D9" s="1"/>
      <c r="E9" s="1"/>
      <c r="F9" s="1"/>
      <c r="G9" s="1"/>
      <c r="H9" s="1"/>
    </row>
    <row r="10" spans="1:12" x14ac:dyDescent="0.25">
      <c r="B10" s="1"/>
      <c r="C10" s="1"/>
      <c r="D10" s="1"/>
      <c r="E10" s="1"/>
      <c r="F10" s="1"/>
      <c r="G10" s="1"/>
      <c r="H10" s="1"/>
    </row>
    <row r="15" spans="1:12" x14ac:dyDescent="0.25">
      <c r="A15" s="7" t="s">
        <v>30</v>
      </c>
      <c r="I15" s="11">
        <f>AVERAGE(I2:I6)</f>
        <v>2.4985176376138543</v>
      </c>
      <c r="J15" s="11">
        <f>AVERAGE(J2:J5)</f>
        <v>9.4688268088268082</v>
      </c>
      <c r="K15" s="11">
        <f>AVERAGE(K2,K5,K4)</f>
        <v>19.901189307146755</v>
      </c>
      <c r="L15" s="11">
        <v>0</v>
      </c>
    </row>
    <row r="16" spans="1:12" x14ac:dyDescent="0.25">
      <c r="A16" s="7" t="s">
        <v>31</v>
      </c>
      <c r="I16" s="69">
        <f>I7/I15-1</f>
        <v>2.4635645911572635E-3</v>
      </c>
      <c r="J16" s="68">
        <f t="shared" ref="J16:K16" si="4">J7/J15-1</f>
        <v>-0.11551872591091716</v>
      </c>
      <c r="K16" s="68">
        <f t="shared" si="4"/>
        <v>-0.38788491512697965</v>
      </c>
      <c r="L16" s="1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AAAA-9EB6-4823-9579-2E718701566C}">
  <dimension ref="D3:O28"/>
  <sheetViews>
    <sheetView workbookViewId="0">
      <selection activeCell="N28" sqref="N28"/>
    </sheetView>
  </sheetViews>
  <sheetFormatPr defaultRowHeight="15" x14ac:dyDescent="0.25"/>
  <cols>
    <col min="3" max="7" width="9.7109375" customWidth="1"/>
    <col min="8" max="15" width="11.7109375" customWidth="1"/>
    <col min="16" max="17" width="9.7109375" customWidth="1"/>
  </cols>
  <sheetData>
    <row r="3" spans="4:15" x14ac:dyDescent="0.25">
      <c r="D3" s="71" t="s">
        <v>68</v>
      </c>
      <c r="E3" s="71"/>
      <c r="F3" s="71"/>
      <c r="H3" s="20" t="s">
        <v>58</v>
      </c>
      <c r="I3" s="20" t="s">
        <v>59</v>
      </c>
      <c r="J3" s="20" t="s">
        <v>60</v>
      </c>
      <c r="K3" s="20" t="s">
        <v>53</v>
      </c>
      <c r="L3" s="20" t="s">
        <v>54</v>
      </c>
      <c r="M3" s="20" t="s">
        <v>55</v>
      </c>
      <c r="N3" s="20" t="s">
        <v>56</v>
      </c>
      <c r="O3" s="20" t="s">
        <v>57</v>
      </c>
    </row>
    <row r="4" spans="4:15" ht="21" x14ac:dyDescent="0.3">
      <c r="D4" s="24"/>
      <c r="E4" s="23"/>
      <c r="F4" s="25"/>
      <c r="G4" s="25"/>
      <c r="H4" s="25"/>
      <c r="I4" s="25"/>
      <c r="J4" s="25"/>
      <c r="K4" s="26"/>
      <c r="L4" s="26"/>
      <c r="M4" s="26"/>
      <c r="N4" s="26"/>
      <c r="O4" s="26"/>
    </row>
    <row r="5" spans="4:15" ht="15.75" x14ac:dyDescent="0.3">
      <c r="D5" s="27" t="s">
        <v>43</v>
      </c>
      <c r="E5" s="28"/>
      <c r="F5" s="29"/>
      <c r="G5" s="30"/>
      <c r="H5" s="50">
        <v>365</v>
      </c>
      <c r="I5" s="50">
        <v>365</v>
      </c>
      <c r="J5" s="50">
        <v>365</v>
      </c>
      <c r="K5" s="50">
        <v>365</v>
      </c>
      <c r="L5" s="50">
        <v>365</v>
      </c>
      <c r="M5" s="50">
        <v>365</v>
      </c>
      <c r="N5" s="50">
        <v>365</v>
      </c>
      <c r="O5" s="50">
        <v>365</v>
      </c>
    </row>
    <row r="6" spans="4:15" ht="15.75" x14ac:dyDescent="0.3">
      <c r="D6" s="27" t="s">
        <v>44</v>
      </c>
      <c r="E6" s="30"/>
      <c r="F6" s="30"/>
      <c r="G6" s="30"/>
      <c r="H6" s="31">
        <f>FCF!G2</f>
        <v>885700</v>
      </c>
      <c r="I6" s="32">
        <f>FCF!H2</f>
        <v>997060</v>
      </c>
      <c r="J6" s="32">
        <f>FCF!I2</f>
        <v>1070000</v>
      </c>
      <c r="K6" s="32">
        <f>FCF!K2</f>
        <v>1237774.9172673565</v>
      </c>
      <c r="L6" s="32">
        <f>FCF!L2</f>
        <v>1431856.7717908518</v>
      </c>
      <c r="M6" s="32">
        <f>FCF!M2</f>
        <v>1656370.4647122673</v>
      </c>
      <c r="N6" s="32">
        <f>FCF!N2</f>
        <v>1916087.6774984295</v>
      </c>
      <c r="O6" s="32">
        <f>FCF!O2</f>
        <v>2216528.286441701</v>
      </c>
    </row>
    <row r="7" spans="4:15" ht="15.75" x14ac:dyDescent="0.3">
      <c r="D7" s="27" t="s">
        <v>2</v>
      </c>
      <c r="E7" s="30"/>
      <c r="F7" s="30"/>
      <c r="G7" s="30"/>
      <c r="H7" s="33">
        <f>FCF!G5</f>
        <v>451780</v>
      </c>
      <c r="I7" s="34">
        <f>FCF!H5</f>
        <v>505450</v>
      </c>
      <c r="J7" s="34">
        <f>FCF!I5</f>
        <v>555070</v>
      </c>
      <c r="K7" s="34">
        <f>FCF!K5</f>
        <v>555070</v>
      </c>
      <c r="L7" s="34">
        <f>FCF!L5</f>
        <v>635131.56488721992</v>
      </c>
      <c r="M7" s="34">
        <f>FCF!M5</f>
        <v>726740.96008807688</v>
      </c>
      <c r="N7" s="34">
        <f>FCF!N5</f>
        <v>831563.80861581583</v>
      </c>
      <c r="O7" s="35">
        <f>FCF!O5</f>
        <v>951505.97775008506</v>
      </c>
    </row>
    <row r="8" spans="4:15" ht="16.5" x14ac:dyDescent="0.3">
      <c r="D8" s="36"/>
      <c r="E8" s="37"/>
      <c r="F8" s="30"/>
      <c r="G8" s="30"/>
      <c r="H8" s="30"/>
      <c r="I8" s="30"/>
      <c r="J8" s="30"/>
      <c r="K8" s="38"/>
      <c r="L8" s="38"/>
      <c r="M8" s="38"/>
      <c r="N8" s="38"/>
      <c r="O8" s="38"/>
    </row>
    <row r="9" spans="4:15" ht="16.5" x14ac:dyDescent="0.3">
      <c r="D9" s="36"/>
      <c r="E9" s="37"/>
      <c r="F9" s="30"/>
      <c r="G9" s="30"/>
      <c r="H9" s="30"/>
      <c r="I9" s="30"/>
      <c r="J9" s="30"/>
      <c r="K9" s="38"/>
      <c r="L9" s="38"/>
      <c r="M9" s="38"/>
      <c r="N9" s="38"/>
      <c r="O9" s="38"/>
    </row>
    <row r="10" spans="4:15" ht="15.75" x14ac:dyDescent="0.3">
      <c r="D10" s="39" t="s">
        <v>45</v>
      </c>
      <c r="E10" s="37"/>
      <c r="F10" s="30"/>
      <c r="G10" s="30"/>
      <c r="H10" s="30"/>
      <c r="I10" s="30"/>
      <c r="J10" s="30"/>
      <c r="K10" s="38"/>
      <c r="L10" s="38"/>
      <c r="M10" s="38"/>
      <c r="N10" s="38"/>
      <c r="O10" s="38"/>
    </row>
    <row r="11" spans="4:15" ht="15.75" x14ac:dyDescent="0.3">
      <c r="D11" s="40" t="s">
        <v>46</v>
      </c>
      <c r="E11" s="30"/>
      <c r="F11" s="29" t="s">
        <v>47</v>
      </c>
      <c r="G11" s="29"/>
      <c r="H11" s="41">
        <f>SCHEDULES!H17/SCHEDULES!H6*SCHEDULES!H5</f>
        <v>9.0951225019758386</v>
      </c>
      <c r="I11" s="41">
        <f>SCHEDULES!I17/SCHEDULES!I6*SCHEDULES!I5</f>
        <v>14.068310833851523</v>
      </c>
      <c r="J11" s="41">
        <f>SCHEDULES!J17/SCHEDULES!J6*SCHEDULES!J5</f>
        <v>14.586355140186917</v>
      </c>
      <c r="K11" s="41">
        <v>12.583262825338094</v>
      </c>
      <c r="L11" s="41">
        <v>12.583262825338094</v>
      </c>
      <c r="M11" s="41">
        <v>12.583262825338094</v>
      </c>
      <c r="N11" s="41">
        <v>12.583262825338094</v>
      </c>
      <c r="O11" s="41">
        <v>12.583262825338094</v>
      </c>
    </row>
    <row r="12" spans="4:15" ht="15.75" x14ac:dyDescent="0.3">
      <c r="D12" s="40" t="s">
        <v>48</v>
      </c>
      <c r="E12" s="30"/>
      <c r="F12" s="29" t="s">
        <v>47</v>
      </c>
      <c r="G12" s="29"/>
      <c r="H12" s="41">
        <f>(H18/H7)*H5</f>
        <v>77.026650139448407</v>
      </c>
      <c r="I12" s="41">
        <f t="shared" ref="I12:J12" si="0">(I18/I7)*I5</f>
        <v>83.492531407656543</v>
      </c>
      <c r="J12" s="41">
        <f t="shared" si="0"/>
        <v>73.904822815140434</v>
      </c>
      <c r="K12" s="41">
        <v>78.141334787415133</v>
      </c>
      <c r="L12" s="41">
        <v>78.141334787415133</v>
      </c>
      <c r="M12" s="41">
        <v>78.141334787415133</v>
      </c>
      <c r="N12" s="41">
        <v>78.141334787415133</v>
      </c>
      <c r="O12" s="41">
        <v>78.141334787415133</v>
      </c>
    </row>
    <row r="13" spans="4:15" ht="15.75" x14ac:dyDescent="0.3">
      <c r="D13" s="40" t="s">
        <v>49</v>
      </c>
      <c r="E13" s="30"/>
      <c r="F13" s="29" t="s">
        <v>47</v>
      </c>
      <c r="G13" s="29"/>
      <c r="H13" s="41">
        <f>(H19/H7)*H5</f>
        <v>11.367369073442825</v>
      </c>
      <c r="I13" s="41">
        <f t="shared" ref="I13:J13" si="1">(I19/I7)*I5</f>
        <v>13.29439113661094</v>
      </c>
      <c r="J13" s="41">
        <f t="shared" si="1"/>
        <v>16.025095933846181</v>
      </c>
      <c r="K13" s="41">
        <v>13.562285381299981</v>
      </c>
      <c r="L13" s="41">
        <v>13.562285381299981</v>
      </c>
      <c r="M13" s="41">
        <v>13.562285381299981</v>
      </c>
      <c r="N13" s="41">
        <v>13.562285381299981</v>
      </c>
      <c r="O13" s="41">
        <v>13.562285381299981</v>
      </c>
    </row>
    <row r="14" spans="4:15" ht="16.5" x14ac:dyDescent="0.3">
      <c r="D14" s="36"/>
      <c r="E14" s="30"/>
      <c r="F14" s="42"/>
      <c r="G14" s="42"/>
      <c r="H14" s="43"/>
      <c r="I14" s="44"/>
      <c r="J14" s="44"/>
      <c r="K14" s="45"/>
      <c r="L14" s="45"/>
      <c r="M14" s="45"/>
      <c r="N14" s="45"/>
      <c r="O14" s="45"/>
    </row>
    <row r="15" spans="4:15" ht="16.5" x14ac:dyDescent="0.3">
      <c r="D15" s="36"/>
      <c r="E15" s="30"/>
      <c r="F15" s="42"/>
      <c r="G15" s="42"/>
      <c r="H15" s="43"/>
      <c r="I15" s="44"/>
      <c r="J15" s="44"/>
      <c r="K15" s="45"/>
      <c r="L15" s="45"/>
      <c r="M15" s="45"/>
      <c r="N15" s="45"/>
      <c r="O15" s="45"/>
    </row>
    <row r="16" spans="4:15" ht="15.75" x14ac:dyDescent="0.3">
      <c r="D16" s="39" t="s">
        <v>50</v>
      </c>
      <c r="E16" s="37"/>
      <c r="F16" s="30"/>
      <c r="G16" s="30"/>
      <c r="H16" s="30"/>
      <c r="I16" s="30"/>
      <c r="J16" s="30"/>
      <c r="K16" s="38"/>
      <c r="L16" s="38"/>
      <c r="M16" s="38"/>
      <c r="N16" s="38"/>
      <c r="O16" s="38"/>
    </row>
    <row r="17" spans="4:15" ht="15.75" x14ac:dyDescent="0.3">
      <c r="D17" s="40" t="s">
        <v>46</v>
      </c>
      <c r="E17" s="30"/>
      <c r="F17" s="30"/>
      <c r="G17" s="51"/>
      <c r="H17" s="61">
        <v>22070</v>
      </c>
      <c r="I17" s="61">
        <v>38430</v>
      </c>
      <c r="J17" s="61">
        <v>42760</v>
      </c>
      <c r="K17" s="62">
        <f>(K11/K5)*K6</f>
        <v>42671.909870099349</v>
      </c>
      <c r="L17" s="62">
        <f t="shared" ref="L17:O17" si="2">(L11/L5)*L6</f>
        <v>49362.822158039555</v>
      </c>
      <c r="M17" s="62">
        <f t="shared" si="2"/>
        <v>57102.862722196871</v>
      </c>
      <c r="N17" s="62">
        <f t="shared" si="2"/>
        <v>66056.533814669572</v>
      </c>
      <c r="O17" s="62">
        <f t="shared" si="2"/>
        <v>76414.131474225214</v>
      </c>
    </row>
    <row r="18" spans="4:15" ht="15.75" x14ac:dyDescent="0.3">
      <c r="D18" s="40" t="s">
        <v>48</v>
      </c>
      <c r="E18" s="30"/>
      <c r="F18" s="30"/>
      <c r="G18" s="51"/>
      <c r="H18" s="61">
        <v>95340</v>
      </c>
      <c r="I18" s="61">
        <v>115620</v>
      </c>
      <c r="J18" s="61">
        <v>112390</v>
      </c>
      <c r="K18" s="62">
        <f>(K12/K5)*K7</f>
        <v>118832.63205602881</v>
      </c>
      <c r="L18" s="62">
        <f t="shared" ref="L18:O18" si="3">(L12/L5)*L7</f>
        <v>135972.68012577295</v>
      </c>
      <c r="M18" s="62">
        <f t="shared" si="3"/>
        <v>155584.95524923265</v>
      </c>
      <c r="N18" s="62">
        <f t="shared" si="3"/>
        <v>178026.04374286704</v>
      </c>
      <c r="O18" s="62">
        <f t="shared" si="3"/>
        <v>203703.96482081141</v>
      </c>
    </row>
    <row r="19" spans="4:15" ht="15.75" x14ac:dyDescent="0.3">
      <c r="D19" s="40" t="s">
        <v>49</v>
      </c>
      <c r="E19" s="30"/>
      <c r="F19" s="30"/>
      <c r="G19" s="51"/>
      <c r="H19" s="61">
        <v>14070</v>
      </c>
      <c r="I19" s="61">
        <v>18410</v>
      </c>
      <c r="J19" s="61">
        <v>24370</v>
      </c>
      <c r="K19" s="62">
        <f>(K13/K5)*K7</f>
        <v>20624.706155063508</v>
      </c>
      <c r="L19" s="62">
        <f t="shared" ref="L19:O19" si="4">(L13/L5)*L7</f>
        <v>23599.549418279788</v>
      </c>
      <c r="M19" s="62">
        <f t="shared" si="4"/>
        <v>27003.474791765584</v>
      </c>
      <c r="N19" s="62">
        <f t="shared" si="4"/>
        <v>30898.371740297025</v>
      </c>
      <c r="O19" s="62">
        <f t="shared" si="4"/>
        <v>35355.056471943899</v>
      </c>
    </row>
    <row r="20" spans="4:15" ht="16.5" x14ac:dyDescent="0.3">
      <c r="D20" s="36"/>
      <c r="E20" s="37"/>
      <c r="F20" s="30"/>
      <c r="G20" s="30"/>
      <c r="H20" s="30"/>
      <c r="I20" s="30"/>
      <c r="J20" s="30"/>
      <c r="K20" s="38"/>
      <c r="L20" s="38"/>
      <c r="M20" s="38"/>
      <c r="N20" s="38"/>
      <c r="O20" s="38"/>
    </row>
    <row r="21" spans="4:15" ht="16.5" x14ac:dyDescent="0.3">
      <c r="D21" s="46"/>
      <c r="E21" s="47"/>
      <c r="F21" s="48"/>
      <c r="G21" s="48"/>
      <c r="H21" s="48"/>
      <c r="I21" s="48"/>
      <c r="J21" s="48"/>
      <c r="K21" s="49"/>
      <c r="L21" s="49"/>
      <c r="M21" s="49"/>
      <c r="N21" s="49"/>
      <c r="O21" s="49"/>
    </row>
    <row r="22" spans="4:15" ht="16.5" x14ac:dyDescent="0.3">
      <c r="D22" s="36"/>
      <c r="E22" s="37"/>
      <c r="F22" s="30"/>
      <c r="G22" s="30"/>
      <c r="H22" s="30"/>
      <c r="I22" s="30"/>
      <c r="J22" s="30"/>
      <c r="K22" s="38"/>
      <c r="L22" s="38"/>
      <c r="M22" s="38"/>
      <c r="N22" s="38"/>
      <c r="O22" s="38"/>
    </row>
    <row r="23" spans="4:15" ht="16.5" x14ac:dyDescent="0.3">
      <c r="D23" s="36"/>
      <c r="E23" s="37"/>
      <c r="F23" s="30"/>
      <c r="G23" s="30"/>
      <c r="H23" s="30"/>
      <c r="I23" s="30"/>
      <c r="J23" s="30"/>
      <c r="K23" s="38"/>
      <c r="L23" s="38"/>
      <c r="M23" s="38"/>
      <c r="N23" s="38"/>
      <c r="O23" s="38"/>
    </row>
    <row r="24" spans="4:15" ht="15.75" x14ac:dyDescent="0.3">
      <c r="D24" s="39" t="s">
        <v>51</v>
      </c>
      <c r="E24" s="37"/>
      <c r="F24" s="30"/>
      <c r="G24" s="30"/>
      <c r="H24" s="30"/>
      <c r="I24" s="30"/>
      <c r="J24" s="30"/>
      <c r="K24" s="38"/>
      <c r="L24" s="38"/>
      <c r="M24" s="38"/>
      <c r="N24" s="38"/>
      <c r="O24" s="38"/>
    </row>
    <row r="25" spans="4:15" ht="15.75" x14ac:dyDescent="0.3">
      <c r="D25" s="40" t="s">
        <v>46</v>
      </c>
      <c r="E25" s="30"/>
      <c r="F25" s="30"/>
      <c r="G25" s="30"/>
      <c r="H25" s="32"/>
      <c r="I25" s="63">
        <f t="shared" ref="I25:O26" si="5">H17-I17</f>
        <v>-16360</v>
      </c>
      <c r="J25" s="63">
        <f t="shared" si="5"/>
        <v>-4330</v>
      </c>
      <c r="K25" s="63">
        <f t="shared" si="5"/>
        <v>88.090129900650936</v>
      </c>
      <c r="L25" s="63">
        <f t="shared" si="5"/>
        <v>-6690.9122879402057</v>
      </c>
      <c r="M25" s="63">
        <f t="shared" si="5"/>
        <v>-7740.0405641573161</v>
      </c>
      <c r="N25" s="63">
        <f t="shared" si="5"/>
        <v>-8953.6710924727013</v>
      </c>
      <c r="O25" s="63">
        <f t="shared" si="5"/>
        <v>-10357.597659555642</v>
      </c>
    </row>
    <row r="26" spans="4:15" ht="15.75" x14ac:dyDescent="0.3">
      <c r="D26" s="40" t="s">
        <v>48</v>
      </c>
      <c r="E26" s="30"/>
      <c r="F26" s="30"/>
      <c r="G26" s="30"/>
      <c r="H26" s="32"/>
      <c r="I26" s="63">
        <f t="shared" si="5"/>
        <v>-20280</v>
      </c>
      <c r="J26" s="63">
        <f t="shared" si="5"/>
        <v>3230</v>
      </c>
      <c r="K26" s="63">
        <f>J18-K18</f>
        <v>-6442.632056028815</v>
      </c>
      <c r="L26" s="63">
        <f>K18-L18</f>
        <v>-17140.048069744138</v>
      </c>
      <c r="M26" s="63">
        <f>L18-M18</f>
        <v>-19612.275123459694</v>
      </c>
      <c r="N26" s="63">
        <f>M18-N18</f>
        <v>-22441.088493634394</v>
      </c>
      <c r="O26" s="63">
        <f t="shared" si="5"/>
        <v>-25677.921077944367</v>
      </c>
    </row>
    <row r="27" spans="4:15" ht="15.75" x14ac:dyDescent="0.3">
      <c r="D27" s="40" t="s">
        <v>49</v>
      </c>
      <c r="E27" s="30"/>
      <c r="F27" s="30"/>
      <c r="G27" s="30"/>
      <c r="H27" s="32"/>
      <c r="I27" s="63">
        <f>I19-H19</f>
        <v>4340</v>
      </c>
      <c r="J27" s="63">
        <f t="shared" ref="J27:O27" si="6">J19-I19</f>
        <v>5960</v>
      </c>
      <c r="K27" s="63">
        <f t="shared" si="6"/>
        <v>-3745.293844936492</v>
      </c>
      <c r="L27" s="63">
        <f t="shared" si="6"/>
        <v>2974.8432632162803</v>
      </c>
      <c r="M27" s="63">
        <f t="shared" si="6"/>
        <v>3403.9253734857957</v>
      </c>
      <c r="N27" s="63">
        <f t="shared" si="6"/>
        <v>3894.896948531441</v>
      </c>
      <c r="O27" s="63">
        <f t="shared" si="6"/>
        <v>4456.6847316468738</v>
      </c>
    </row>
    <row r="28" spans="4:15" ht="16.5" thickBot="1" x14ac:dyDescent="0.35">
      <c r="D28" s="40" t="s">
        <v>52</v>
      </c>
      <c r="E28" s="37"/>
      <c r="F28" s="37"/>
      <c r="G28" s="37"/>
      <c r="H28" s="37"/>
      <c r="I28" s="64">
        <f>SUM(I25:I27)</f>
        <v>-32300</v>
      </c>
      <c r="J28" s="64">
        <f t="shared" ref="J28:O28" si="7">SUM(J25:J27)</f>
        <v>4860</v>
      </c>
      <c r="K28" s="64">
        <f t="shared" si="7"/>
        <v>-10099.835771064656</v>
      </c>
      <c r="L28" s="64">
        <f t="shared" si="7"/>
        <v>-20856.117094468063</v>
      </c>
      <c r="M28" s="64">
        <f t="shared" si="7"/>
        <v>-23948.390314131215</v>
      </c>
      <c r="N28" s="64">
        <f t="shared" si="7"/>
        <v>-27499.862637575654</v>
      </c>
      <c r="O28" s="64">
        <f t="shared" si="7"/>
        <v>-31578.834005853136</v>
      </c>
    </row>
  </sheetData>
  <mergeCells count="1">
    <mergeCell ref="D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>
      <selection activeCell="F1" sqref="F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FCF</vt:lpstr>
      <vt:lpstr>WACC</vt:lpstr>
      <vt:lpstr>CCA</vt:lpstr>
      <vt:lpstr>SCHEDULES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2024-09-07T16:09:45Z</dcterms:modified>
</cp:coreProperties>
</file>