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e6237f9b02a2a353/Masaüstü/DOSYALARIM/Hisse ve Şirket değerleme/2023-2024 OCAK/"/>
    </mc:Choice>
  </mc:AlternateContent>
  <xr:revisionPtr revIDLastSave="7" documentId="8_{7F575C59-E7E4-48E6-8521-B5E6EF3C0C91}" xr6:coauthVersionLast="47" xr6:coauthVersionMax="47" xr10:uidLastSave="{6B962390-EB95-4A5C-B2B2-0FEF2ED79AB6}"/>
  <bookViews>
    <workbookView xWindow="-120" yWindow="-120" windowWidth="29040" windowHeight="15720" xr2:uid="{00000000-000D-0000-FFFF-FFFF00000000}"/>
  </bookViews>
  <sheets>
    <sheet name="FCF" sheetId="1" r:id="rId1"/>
    <sheet name="WACC" sheetId="2" r:id="rId2"/>
    <sheet name="CCA" sheetId="3" r:id="rId3"/>
    <sheet name="SCHEDULES" sheetId="6" r:id="rId4"/>
    <sheet name="ABOUT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3" l="1"/>
  <c r="L16" i="3"/>
  <c r="K16" i="3"/>
  <c r="J16" i="3"/>
  <c r="I16" i="3"/>
  <c r="D6" i="3"/>
  <c r="D5" i="3"/>
  <c r="D4" i="3"/>
  <c r="D3" i="3" l="1"/>
  <c r="D2" i="3"/>
  <c r="J8" i="1"/>
  <c r="J3" i="1"/>
  <c r="B15" i="2"/>
  <c r="K15" i="1" l="1"/>
  <c r="K14" i="1"/>
  <c r="K16" i="1"/>
  <c r="I16" i="1"/>
  <c r="H16" i="1"/>
  <c r="I13" i="6"/>
  <c r="J12" i="1"/>
  <c r="K5" i="1"/>
  <c r="C7" i="1"/>
  <c r="D7" i="1"/>
  <c r="E7" i="1"/>
  <c r="F7" i="1"/>
  <c r="G7" i="1"/>
  <c r="L16" i="1" l="1"/>
  <c r="K7" i="6"/>
  <c r="J7" i="6"/>
  <c r="I7" i="6"/>
  <c r="H7" i="6"/>
  <c r="J6" i="6"/>
  <c r="J11" i="6" s="1"/>
  <c r="I6" i="6"/>
  <c r="I11" i="6" s="1"/>
  <c r="H6" i="6"/>
  <c r="H11" i="6" s="1"/>
  <c r="J26" i="6"/>
  <c r="I27" i="6"/>
  <c r="I26" i="6"/>
  <c r="J25" i="6"/>
  <c r="I25" i="6"/>
  <c r="B4" i="2"/>
  <c r="M16" i="1" l="1"/>
  <c r="N16" i="1" s="1"/>
  <c r="O16" i="1" s="1"/>
  <c r="P16" i="1" s="1"/>
  <c r="H13" i="6"/>
  <c r="H12" i="6"/>
  <c r="I12" i="6"/>
  <c r="K19" i="6"/>
  <c r="K18" i="6"/>
  <c r="J12" i="6"/>
  <c r="J13" i="6"/>
  <c r="I28" i="6"/>
  <c r="J27" i="6"/>
  <c r="J28" i="6" s="1"/>
  <c r="I7" i="1" l="1"/>
  <c r="H7" i="1"/>
  <c r="I3" i="1"/>
  <c r="H3" i="1"/>
  <c r="G3" i="1"/>
  <c r="F3" i="1"/>
  <c r="E3" i="1"/>
  <c r="D3" i="1"/>
  <c r="F8" i="1" l="1"/>
  <c r="I8" i="1"/>
  <c r="E8" i="1"/>
  <c r="C8" i="1"/>
  <c r="D8" i="1"/>
  <c r="H8" i="1"/>
  <c r="G8" i="1"/>
  <c r="K2" i="1"/>
  <c r="L3" i="3"/>
  <c r="L4" i="3"/>
  <c r="L5" i="3"/>
  <c r="L6" i="3"/>
  <c r="L2" i="3"/>
  <c r="K3" i="3"/>
  <c r="K4" i="3"/>
  <c r="K5" i="3"/>
  <c r="K6" i="3"/>
  <c r="K2" i="3"/>
  <c r="J3" i="3"/>
  <c r="J4" i="3"/>
  <c r="J5" i="3"/>
  <c r="J6" i="3"/>
  <c r="J2" i="3"/>
  <c r="I3" i="3"/>
  <c r="I4" i="3"/>
  <c r="I5" i="3"/>
  <c r="I6" i="3"/>
  <c r="I2" i="3"/>
  <c r="B9" i="2"/>
  <c r="B13" i="2" s="1"/>
  <c r="I27" i="1" s="1"/>
  <c r="B12" i="1"/>
  <c r="C10" i="1"/>
  <c r="C12" i="1" s="1"/>
  <c r="D10" i="1"/>
  <c r="D12" i="1" s="1"/>
  <c r="E10" i="1"/>
  <c r="E12" i="1" s="1"/>
  <c r="F10" i="1"/>
  <c r="F12" i="1" s="1"/>
  <c r="G10" i="1"/>
  <c r="G12" i="1" s="1"/>
  <c r="H10" i="1"/>
  <c r="H12" i="1" s="1"/>
  <c r="I10" i="1"/>
  <c r="I12" i="1" s="1"/>
  <c r="L15" i="3" l="1"/>
  <c r="I15" i="3"/>
  <c r="J15" i="3"/>
  <c r="K15" i="3"/>
  <c r="L2" i="1"/>
  <c r="K6" i="6"/>
  <c r="K17" i="6" s="1"/>
  <c r="L15" i="1" l="1"/>
  <c r="M15" i="1" s="1"/>
  <c r="N15" i="1" s="1"/>
  <c r="O15" i="1" s="1"/>
  <c r="P15" i="1" s="1"/>
  <c r="L5" i="1"/>
  <c r="K7" i="1"/>
  <c r="L7" i="1" s="1"/>
  <c r="M2" i="1"/>
  <c r="L6" i="6"/>
  <c r="L17" i="6" s="1"/>
  <c r="L14" i="1" l="1"/>
  <c r="M14" i="1" s="1"/>
  <c r="N14" i="1" s="1"/>
  <c r="O14" i="1" s="1"/>
  <c r="P14" i="1" s="1"/>
  <c r="M5" i="1"/>
  <c r="L7" i="6"/>
  <c r="K10" i="1"/>
  <c r="K11" i="1" s="1"/>
  <c r="M7" i="1"/>
  <c r="N7" i="1" s="1"/>
  <c r="O7" i="1" s="1"/>
  <c r="P7" i="1" s="1"/>
  <c r="L10" i="1"/>
  <c r="L11" i="1" s="1"/>
  <c r="N2" i="1"/>
  <c r="M6" i="6"/>
  <c r="M17" i="6" s="1"/>
  <c r="K20" i="1" l="1"/>
  <c r="N10" i="1"/>
  <c r="N11" i="1" s="1"/>
  <c r="M10" i="1"/>
  <c r="M11" i="1" s="1"/>
  <c r="L19" i="6"/>
  <c r="L27" i="6" s="1"/>
  <c r="L18" i="6"/>
  <c r="N5" i="1"/>
  <c r="M7" i="6"/>
  <c r="O2" i="1"/>
  <c r="P2" i="1" s="1"/>
  <c r="P10" i="1" s="1"/>
  <c r="P11" i="1" s="1"/>
  <c r="N6" i="6"/>
  <c r="N17" i="6" s="1"/>
  <c r="K27" i="6"/>
  <c r="K26" i="6"/>
  <c r="M18" i="6" l="1"/>
  <c r="M26" i="6" s="1"/>
  <c r="M19" i="6"/>
  <c r="M27" i="6" s="1"/>
  <c r="L26" i="6"/>
  <c r="O5" i="1"/>
  <c r="N7" i="6"/>
  <c r="O6" i="6"/>
  <c r="O17" i="6" s="1"/>
  <c r="O10" i="1"/>
  <c r="O11" i="1" s="1"/>
  <c r="K25" i="6"/>
  <c r="K28" i="6" s="1"/>
  <c r="N19" i="6" l="1"/>
  <c r="N18" i="6"/>
  <c r="N26" i="6" s="1"/>
  <c r="P5" i="1"/>
  <c r="O7" i="6"/>
  <c r="O25" i="6"/>
  <c r="N25" i="6"/>
  <c r="M25" i="6"/>
  <c r="M28" i="6" s="1"/>
  <c r="L25" i="6"/>
  <c r="L28" i="6" s="1"/>
  <c r="O18" i="6" l="1"/>
  <c r="O26" i="6" s="1"/>
  <c r="O19" i="6"/>
  <c r="O27" i="6" s="1"/>
  <c r="N27" i="6"/>
  <c r="N28" i="6" s="1"/>
  <c r="N20" i="1" s="1"/>
  <c r="L20" i="1"/>
  <c r="M20" i="1"/>
  <c r="O28" i="6" l="1"/>
  <c r="P28" i="6"/>
  <c r="P20" i="1" s="1"/>
  <c r="L25" i="1" s="1"/>
  <c r="O20" i="1"/>
  <c r="L26" i="1" l="1"/>
  <c r="L28" i="1" s="1"/>
  <c r="O21" i="1" s="1"/>
  <c r="B21" i="1" s="1"/>
  <c r="B24" i="1" s="1"/>
  <c r="B26" i="1" s="1"/>
  <c r="B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furkan panayir</author>
  </authors>
  <commentList>
    <comment ref="A6" authorId="0" shapeId="0" xr:uid="{FB46F69F-8FE9-48E1-8D65-8F1EF7870F42}">
      <text>
        <r>
          <rPr>
            <b/>
            <sz val="9"/>
            <color indexed="81"/>
            <rFont val="Tahoma"/>
            <family val="2"/>
            <charset val="162"/>
          </rPr>
          <t>furkan panayir:</t>
        </r>
        <r>
          <rPr>
            <sz val="9"/>
            <color indexed="81"/>
            <rFont val="Tahoma"/>
            <family val="2"/>
            <charset val="162"/>
          </rPr>
          <t xml:space="preserve">
D&amp;A INCLUDED
</t>
        </r>
      </text>
    </comment>
  </commentList>
</comments>
</file>

<file path=xl/sharedStrings.xml><?xml version="1.0" encoding="utf-8"?>
<sst xmlns="http://schemas.openxmlformats.org/spreadsheetml/2006/main" count="91" uniqueCount="80">
  <si>
    <t>REVENUE</t>
  </si>
  <si>
    <t xml:space="preserve">Average </t>
  </si>
  <si>
    <t>COGS</t>
  </si>
  <si>
    <t>TOTAL OPERATİNG EXPENSES</t>
  </si>
  <si>
    <t>EBIT</t>
  </si>
  <si>
    <t>INCOME TAX</t>
  </si>
  <si>
    <t>TAX RATE</t>
  </si>
  <si>
    <t>DEPRECİATİON&amp;AMORTİZATİON</t>
  </si>
  <si>
    <t>(NET CAPİTAL EXPENDİTURE)</t>
  </si>
  <si>
    <t>FCF</t>
  </si>
  <si>
    <t>EV/EBİTDA multiple</t>
  </si>
  <si>
    <t>NPV OF FCF (ENTERPRİSE VALUE)</t>
  </si>
  <si>
    <t>CASH AND CASH EQUİVALENTS</t>
  </si>
  <si>
    <t>(DEBT)</t>
  </si>
  <si>
    <t>EQUİTY VALUE</t>
  </si>
  <si>
    <t>SHARES OUTSTANDING</t>
  </si>
  <si>
    <t>FAIR VALUE OF THE COMPANY</t>
  </si>
  <si>
    <t>COST OF EQUITY</t>
  </si>
  <si>
    <t>EQUITY RISK PREMIUM</t>
  </si>
  <si>
    <t>(X)BETA</t>
  </si>
  <si>
    <t>(+)RISK FREE RATE</t>
  </si>
  <si>
    <t>COST OF DEBT</t>
  </si>
  <si>
    <t>WACC</t>
  </si>
  <si>
    <t>PERCENT OF EQUITY</t>
  </si>
  <si>
    <t>PERCENT OF DEBT</t>
  </si>
  <si>
    <t>AVERAGE YIELD ON DEBT</t>
  </si>
  <si>
    <t>MARKET PRICE 8TH OF FEBRUARY</t>
  </si>
  <si>
    <t>Growth Forecast</t>
  </si>
  <si>
    <t>COMPANY</t>
  </si>
  <si>
    <t>MARKET CAP</t>
  </si>
  <si>
    <t>PRICE</t>
  </si>
  <si>
    <t>AVERAGE</t>
  </si>
  <si>
    <t>DIFFERENCE</t>
  </si>
  <si>
    <t>EV</t>
  </si>
  <si>
    <t>SALES</t>
  </si>
  <si>
    <t>EBITDA</t>
  </si>
  <si>
    <t>EARNINGS</t>
  </si>
  <si>
    <t>EV/SALES</t>
  </si>
  <si>
    <t>EV/EBITDA</t>
  </si>
  <si>
    <t>EV/EBIT</t>
  </si>
  <si>
    <t>P/E</t>
  </si>
  <si>
    <t>CHANGE IN WORKING CAPITAL</t>
  </si>
  <si>
    <t>REVENUE INCREASE</t>
  </si>
  <si>
    <t>INCREASE IN EXPENSES</t>
  </si>
  <si>
    <t>Days in Period</t>
  </si>
  <si>
    <t>Revenue</t>
  </si>
  <si>
    <t>AMOUNTS PER DAY</t>
  </si>
  <si>
    <t>Accounts Receivable</t>
  </si>
  <si>
    <t>(Days)</t>
  </si>
  <si>
    <t>Inventory</t>
  </si>
  <si>
    <t>Accounts Payable</t>
  </si>
  <si>
    <t>TOTAL AMOUNTS</t>
  </si>
  <si>
    <t>CASH CHANGES</t>
  </si>
  <si>
    <t>Cash from Working Capital Items</t>
  </si>
  <si>
    <t>2024 F</t>
  </si>
  <si>
    <t>2025 F</t>
  </si>
  <si>
    <t>2026 F</t>
  </si>
  <si>
    <t>2027 F</t>
  </si>
  <si>
    <t>2028 F</t>
  </si>
  <si>
    <t>2021 A</t>
  </si>
  <si>
    <t>2022 A</t>
  </si>
  <si>
    <t>2023 A</t>
  </si>
  <si>
    <t>MULTIPLE METHOD</t>
  </si>
  <si>
    <t>PERPETUITY METHOD</t>
  </si>
  <si>
    <t xml:space="preserve">TERMINAL GROWTH </t>
  </si>
  <si>
    <t>WEIGHTED TERMINAL VALUE</t>
  </si>
  <si>
    <t>EFFECTIVE TAX RATE FROM EBITDA</t>
  </si>
  <si>
    <t>EBIT (OPERATING INCOME)</t>
  </si>
  <si>
    <t xml:space="preserve">OPERATING EXPENSES </t>
  </si>
  <si>
    <t>WORKING CAPITAL SCHEDULE</t>
  </si>
  <si>
    <t>TERMINAL</t>
  </si>
  <si>
    <t>FCF=EBIT*(1-TAX RATE)+DEPRECİATİON&amp;AMORTİZATİON-NET CAPEX- NET CHANGE IN WORKING CAPITAL</t>
  </si>
  <si>
    <t>Because of the nature of the business, we did not use the working capital schedule and assumed as their average</t>
  </si>
  <si>
    <t>Rexford Industrial Realty</t>
  </si>
  <si>
    <t>Prologis</t>
  </si>
  <si>
    <t>First Industrial Realty Trust</t>
  </si>
  <si>
    <t>Innovative Industrial Properties</t>
  </si>
  <si>
    <t>LXP Industrial Trust</t>
  </si>
  <si>
    <t>WE DİD NOT USE THE SCHEDULE BECAUSE OF THE NATURE OF THE BUSINESS (REIT)</t>
  </si>
  <si>
    <t>General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</si>
</sst>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[$$-409]* #,##0.00_ ;_-[$$-409]* \-#,##0.00\ ;_-[$$-409]* &quot;-&quot;??_ ;_-@_ "/>
    <numFmt numFmtId="165" formatCode="0.0%"/>
    <numFmt numFmtId="166" formatCode="0&quot;A&quot;"/>
    <numFmt numFmtId="167" formatCode="_(#,##0_)_%;\(#,##0\)_%;_(&quot;–&quot;_)_%;_(@_)_%"/>
    <numFmt numFmtId="168" formatCode="_(#,##0_);\(#,##0\);_(&quot;–&quot;_);_(@_)"/>
    <numFmt numFmtId="169" formatCode="#,##0_);\(#,##0\);\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4" tint="-0.249977111117893"/>
      <name val="Calibri"/>
      <family val="2"/>
      <scheme val="minor"/>
    </font>
    <font>
      <b/>
      <sz val="10"/>
      <color theme="0"/>
      <name val="Open Sans"/>
      <family val="2"/>
    </font>
    <font>
      <i/>
      <sz val="9"/>
      <name val="Open Sans"/>
      <family val="2"/>
    </font>
    <font>
      <b/>
      <sz val="10"/>
      <name val="Open Sans"/>
      <family val="2"/>
    </font>
    <font>
      <sz val="14"/>
      <color theme="1"/>
      <name val="Open Sans"/>
      <family val="2"/>
    </font>
    <font>
      <sz val="10"/>
      <color rgb="FF000000"/>
      <name val="Open Sans"/>
      <family val="2"/>
    </font>
    <font>
      <i/>
      <sz val="8"/>
      <name val="Open Sans"/>
      <family val="2"/>
    </font>
    <font>
      <sz val="10"/>
      <name val="Open Sans"/>
      <family val="2"/>
    </font>
    <font>
      <sz val="11"/>
      <name val="Open Sans"/>
      <family val="2"/>
    </font>
    <font>
      <b/>
      <sz val="10"/>
      <color rgb="FF000000"/>
      <name val="Open Sans"/>
      <family val="2"/>
    </font>
    <font>
      <sz val="10"/>
      <color rgb="FF0000FF"/>
      <name val="Open Sans"/>
      <family val="2"/>
    </font>
    <font>
      <sz val="10"/>
      <color theme="4" tint="-0.249977111117893"/>
      <name val="Open Sans"/>
      <family val="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1"/>
      <color theme="0"/>
      <name val="Calibri"/>
      <family val="2"/>
      <scheme val="minor"/>
    </font>
    <font>
      <b/>
      <sz val="10"/>
      <color rgb="FFFF0000"/>
      <name val="Open Sans"/>
      <family val="2"/>
    </font>
    <font>
      <sz val="10"/>
      <color rgb="FFFF0000"/>
      <name val="Open Sans"/>
      <family val="2"/>
    </font>
    <font>
      <sz val="11"/>
      <color rgb="FFFF0000"/>
      <name val="Calibri"/>
      <family val="2"/>
      <scheme val="minor"/>
    </font>
    <font>
      <sz val="11"/>
      <color rgb="FFFF0000"/>
      <name val="Open Sans"/>
      <family val="2"/>
    </font>
    <font>
      <sz val="11"/>
      <color rgb="FF040C28"/>
      <name val="Calibri"/>
      <family val="2"/>
      <charset val="162"/>
      <scheme val="minor"/>
    </font>
    <font>
      <sz val="11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8">
    <xf numFmtId="0" fontId="0" fillId="0" borderId="0" xfId="0"/>
    <xf numFmtId="164" fontId="0" fillId="0" borderId="0" xfId="0" applyNumberFormat="1"/>
    <xf numFmtId="9" fontId="0" fillId="0" borderId="0" xfId="1" applyFont="1"/>
    <xf numFmtId="9" fontId="0" fillId="0" borderId="0" xfId="0" applyNumberFormat="1"/>
    <xf numFmtId="2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3" fillId="0" borderId="0" xfId="0" applyFont="1"/>
    <xf numFmtId="10" fontId="0" fillId="0" borderId="0" xfId="0" applyNumberFormat="1"/>
    <xf numFmtId="10" fontId="0" fillId="0" borderId="0" xfId="1" applyNumberFormat="1" applyFont="1"/>
    <xf numFmtId="0" fontId="0" fillId="0" borderId="0" xfId="1" applyNumberFormat="1" applyFont="1"/>
    <xf numFmtId="0" fontId="1" fillId="0" borderId="0" xfId="0" applyFont="1"/>
    <xf numFmtId="0" fontId="0" fillId="3" borderId="0" xfId="0" applyFill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4" borderId="0" xfId="0" applyFill="1" applyAlignment="1">
      <alignment wrapText="1"/>
    </xf>
    <xf numFmtId="0" fontId="3" fillId="0" borderId="0" xfId="0" applyFont="1" applyAlignment="1">
      <alignment horizontal="center"/>
    </xf>
    <xf numFmtId="164" fontId="0" fillId="5" borderId="0" xfId="0" applyNumberFormat="1" applyFill="1"/>
    <xf numFmtId="9" fontId="3" fillId="0" borderId="0" xfId="1" applyFont="1"/>
    <xf numFmtId="165" fontId="0" fillId="0" borderId="0" xfId="1" applyNumberFormat="1" applyFont="1"/>
    <xf numFmtId="9" fontId="0" fillId="3" borderId="0" xfId="1" applyFont="1" applyFill="1"/>
    <xf numFmtId="0" fontId="4" fillId="0" borderId="0" xfId="0" applyFont="1"/>
    <xf numFmtId="9" fontId="4" fillId="0" borderId="0" xfId="1" applyFont="1"/>
    <xf numFmtId="164" fontId="4" fillId="0" borderId="0" xfId="0" applyNumberFormat="1" applyFont="1"/>
    <xf numFmtId="37" fontId="5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166" fontId="7" fillId="0" borderId="0" xfId="0" applyNumberFormat="1" applyFont="1" applyAlignment="1">
      <alignment horizontal="right"/>
    </xf>
    <xf numFmtId="37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indent="1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7" fillId="0" borderId="0" xfId="0" applyFont="1"/>
    <xf numFmtId="169" fontId="11" fillId="0" borderId="0" xfId="0" applyNumberFormat="1" applyFont="1"/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168" fontId="11" fillId="0" borderId="0" xfId="0" applyNumberFormat="1" applyFont="1"/>
    <xf numFmtId="0" fontId="6" fillId="0" borderId="0" xfId="0" applyFont="1" applyAlignment="1">
      <alignment horizontal="center"/>
    </xf>
    <xf numFmtId="40" fontId="11" fillId="0" borderId="0" xfId="0" applyNumberFormat="1" applyFont="1"/>
    <xf numFmtId="38" fontId="11" fillId="0" borderId="0" xfId="0" applyNumberFormat="1" applyFont="1"/>
    <xf numFmtId="169" fontId="14" fillId="0" borderId="0" xfId="0" applyNumberFormat="1" applyFont="1"/>
    <xf numFmtId="168" fontId="15" fillId="0" borderId="1" xfId="0" applyNumberFormat="1" applyFont="1" applyBorder="1"/>
    <xf numFmtId="9" fontId="2" fillId="0" borderId="0" xfId="1" applyFont="1"/>
    <xf numFmtId="165" fontId="4" fillId="0" borderId="0" xfId="1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0" fontId="4" fillId="0" borderId="0" xfId="1" applyNumberFormat="1" applyFont="1" applyAlignment="1">
      <alignment horizontal="center"/>
    </xf>
    <xf numFmtId="164" fontId="4" fillId="5" borderId="0" xfId="0" applyNumberFormat="1" applyFont="1" applyFill="1"/>
    <xf numFmtId="164" fontId="18" fillId="0" borderId="0" xfId="0" applyNumberFormat="1" applyFont="1"/>
    <xf numFmtId="0" fontId="18" fillId="0" borderId="0" xfId="0" applyFont="1"/>
    <xf numFmtId="164" fontId="9" fillId="0" borderId="2" xfId="0" applyNumberFormat="1" applyFont="1" applyBorder="1"/>
    <xf numFmtId="164" fontId="9" fillId="0" borderId="0" xfId="0" applyNumberFormat="1" applyFont="1"/>
    <xf numFmtId="164" fontId="9" fillId="0" borderId="3" xfId="0" applyNumberFormat="1" applyFont="1" applyBorder="1"/>
    <xf numFmtId="164" fontId="9" fillId="0" borderId="4" xfId="0" applyNumberFormat="1" applyFont="1" applyBorder="1"/>
    <xf numFmtId="164" fontId="9" fillId="0" borderId="5" xfId="0" applyNumberFormat="1" applyFont="1" applyBorder="1"/>
    <xf numFmtId="164" fontId="0" fillId="6" borderId="0" xfId="0" applyNumberFormat="1" applyFill="1"/>
    <xf numFmtId="9" fontId="0" fillId="5" borderId="0" xfId="1" applyFont="1" applyFill="1"/>
    <xf numFmtId="0" fontId="19" fillId="8" borderId="0" xfId="0" applyFont="1" applyFill="1" applyAlignment="1">
      <alignment horizontal="left"/>
    </xf>
    <xf numFmtId="0" fontId="19" fillId="8" borderId="0" xfId="0" applyFont="1" applyFill="1"/>
    <xf numFmtId="0" fontId="20" fillId="8" borderId="0" xfId="0" applyFont="1" applyFill="1"/>
    <xf numFmtId="169" fontId="20" fillId="8" borderId="0" xfId="0" applyNumberFormat="1" applyFont="1" applyFill="1"/>
    <xf numFmtId="0" fontId="21" fillId="8" borderId="0" xfId="0" applyFont="1" applyFill="1"/>
    <xf numFmtId="0" fontId="20" fillId="8" borderId="0" xfId="0" applyFont="1" applyFill="1" applyAlignment="1">
      <alignment horizontal="left" indent="1"/>
    </xf>
    <xf numFmtId="164" fontId="20" fillId="8" borderId="0" xfId="0" applyNumberFormat="1" applyFont="1" applyFill="1"/>
    <xf numFmtId="0" fontId="22" fillId="8" borderId="0" xfId="0" applyFont="1" applyFill="1"/>
    <xf numFmtId="0" fontId="22" fillId="8" borderId="4" xfId="0" applyFont="1" applyFill="1" applyBorder="1"/>
    <xf numFmtId="0" fontId="19" fillId="8" borderId="4" xfId="0" applyFont="1" applyFill="1" applyBorder="1"/>
    <xf numFmtId="0" fontId="20" fillId="8" borderId="4" xfId="0" applyFont="1" applyFill="1" applyBorder="1"/>
    <xf numFmtId="169" fontId="20" fillId="8" borderId="4" xfId="0" applyNumberFormat="1" applyFont="1" applyFill="1" applyBorder="1"/>
    <xf numFmtId="168" fontId="20" fillId="8" borderId="0" xfId="0" applyNumberFormat="1" applyFont="1" applyFill="1"/>
    <xf numFmtId="164" fontId="20" fillId="8" borderId="6" xfId="0" applyNumberFormat="1" applyFont="1" applyFill="1" applyBorder="1" applyAlignment="1">
      <alignment horizontal="right" vertical="center"/>
    </xf>
    <xf numFmtId="164" fontId="21" fillId="8" borderId="0" xfId="0" applyNumberFormat="1" applyFont="1" applyFill="1"/>
    <xf numFmtId="2" fontId="23" fillId="0" borderId="0" xfId="0" applyNumberFormat="1" applyFont="1"/>
    <xf numFmtId="0" fontId="0" fillId="5" borderId="0" xfId="0" applyFill="1"/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0" fontId="0" fillId="9" borderId="8" xfId="0" applyFill="1" applyBorder="1" applyAlignment="1">
      <alignment horizontal="center"/>
    </xf>
    <xf numFmtId="9" fontId="24" fillId="0" borderId="7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RELATIVE</a:t>
            </a:r>
            <a:r>
              <a:rPr lang="tr-TR" baseline="0"/>
              <a:t> VS INTRINSIC TERMINAL VALUE</a:t>
            </a:r>
          </a:p>
        </c:rich>
      </c:tx>
      <c:layout>
        <c:manualLayout>
          <c:xMode val="edge"/>
          <c:yMode val="edge"/>
          <c:x val="0.1860485564304461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FCF!$K$25:$K$26</c:f>
              <c:strCache>
                <c:ptCount val="2"/>
                <c:pt idx="0">
                  <c:v>MULTIPLE METHOD</c:v>
                </c:pt>
                <c:pt idx="1">
                  <c:v>PERPETUITY METHOD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FCF!$K$25:$K$26</c:f>
              <c:strCache>
                <c:ptCount val="2"/>
                <c:pt idx="0">
                  <c:v>MULTIPLE METHOD</c:v>
                </c:pt>
                <c:pt idx="1">
                  <c:v>PERPETUITY METHOD</c:v>
                </c:pt>
              </c:strCache>
            </c:strRef>
          </c:cat>
          <c:val>
            <c:numRef>
              <c:f>FCF!$L$25:$L$26</c:f>
              <c:numCache>
                <c:formatCode>_-[$$-409]* #,##0.00_ ;_-[$$-409]* \-#,##0.00\ ;_-[$$-409]* "-"??_ ;_-@_ </c:formatCode>
                <c:ptCount val="2"/>
                <c:pt idx="0">
                  <c:v>7046915.770589754</c:v>
                </c:pt>
                <c:pt idx="1">
                  <c:v>7209960.3724605003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B-40B6-98BC-659B775A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0520184"/>
        <c:axId val="640520544"/>
      </c:barChart>
      <c:catAx>
        <c:axId val="640520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520544"/>
        <c:crosses val="autoZero"/>
        <c:auto val="1"/>
        <c:lblAlgn val="ctr"/>
        <c:lblOffset val="100"/>
        <c:noMultiLvlLbl val="0"/>
      </c:catAx>
      <c:valAx>
        <c:axId val="64052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520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OPERATING</a:t>
            </a:r>
            <a:r>
              <a:rPr lang="tr-TR" baseline="0"/>
              <a:t> </a:t>
            </a:r>
            <a:r>
              <a:rPr lang="tr-TR"/>
              <a:t>INCOME</a:t>
            </a:r>
            <a:r>
              <a:rPr lang="tr-TR" baseline="0"/>
              <a:t> FORECAST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REVENUE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FCF!$K$1:$O$1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FCF!$K$2:$O$2</c:f>
              <c:numCache>
                <c:formatCode>_-[$$-409]* #,##0.00_ ;_-[$$-409]* \-#,##0.00\ ;_-[$$-409]* "-"??_ ;_-@_ </c:formatCode>
                <c:ptCount val="5"/>
                <c:pt idx="0">
                  <c:v>357641.21080851892</c:v>
                </c:pt>
                <c:pt idx="1">
                  <c:v>413257.19901968748</c:v>
                </c:pt>
                <c:pt idx="2">
                  <c:v>477521.90569848509</c:v>
                </c:pt>
                <c:pt idx="3">
                  <c:v>551780.27379276149</c:v>
                </c:pt>
                <c:pt idx="4">
                  <c:v>637586.39533294342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2-4D1A-AFCC-1464CB30B0E5}"/>
            </c:ext>
          </c:extLst>
        </c:ser>
        <c:ser>
          <c:idx val="5"/>
          <c:order val="1"/>
          <c:tx>
            <c:v>TOTAL OPERATING EXPENSE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FCF!$K$1:$O$1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FCF!$K$7:$O$7</c:f>
              <c:numCache>
                <c:formatCode>General</c:formatCode>
                <c:ptCount val="5"/>
                <c:pt idx="0" formatCode="_-[$$-409]* #,##0.00_ ;_-[$$-409]* \-#,##0.00\ ;_-[$$-409]* &quot;-&quot;??_ ;_-@_ ">
                  <c:v>159121.70500577352</c:v>
                </c:pt>
                <c:pt idx="1">
                  <c:v>190245.0747910768</c:v>
                </c:pt>
                <c:pt idx="2">
                  <c:v>227456.01224515022</c:v>
                </c:pt>
                <c:pt idx="3">
                  <c:v>271945.21363184613</c:v>
                </c:pt>
                <c:pt idx="4">
                  <c:v>325136.26915064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52-4D1A-AFCC-1464CB30B0E5}"/>
            </c:ext>
          </c:extLst>
        </c:ser>
        <c:ser>
          <c:idx val="8"/>
          <c:order val="2"/>
          <c:tx>
            <c:v>EBIT (OPERATING INCOME)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FCF!$K$1:$O$1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FCF!$K$10:$O$10</c:f>
              <c:numCache>
                <c:formatCode>_-[$$-409]* #,##0.00_ ;_-[$$-409]* \-#,##0.00\ ;_-[$$-409]* "-"??_ ;_-@_ </c:formatCode>
                <c:ptCount val="5"/>
                <c:pt idx="0">
                  <c:v>198519.50580274541</c:v>
                </c:pt>
                <c:pt idx="1">
                  <c:v>223012.12422861069</c:v>
                </c:pt>
                <c:pt idx="2">
                  <c:v>250065.89345333487</c:v>
                </c:pt>
                <c:pt idx="3">
                  <c:v>279835.06016091537</c:v>
                </c:pt>
                <c:pt idx="4">
                  <c:v>312450.12618230341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052-4D1A-AFCC-1464CB30B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6796360"/>
        <c:axId val="686792760"/>
      </c:lineChart>
      <c:catAx>
        <c:axId val="686796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6792760"/>
        <c:crosses val="autoZero"/>
        <c:auto val="1"/>
        <c:lblAlgn val="ctr"/>
        <c:lblOffset val="100"/>
        <c:noMultiLvlLbl val="0"/>
      </c:catAx>
      <c:valAx>
        <c:axId val="686792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6796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846044</xdr:colOff>
      <xdr:row>30</xdr:row>
      <xdr:rowOff>23532</xdr:rowOff>
    </xdr:from>
    <xdr:to>
      <xdr:col>8</xdr:col>
      <xdr:colOff>442632</xdr:colOff>
      <xdr:row>44</xdr:row>
      <xdr:rowOff>99732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10F60F-8042-8876-F030-AEBCBB799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689161</xdr:colOff>
      <xdr:row>29</xdr:row>
      <xdr:rowOff>12326</xdr:rowOff>
    </xdr:from>
    <xdr:to>
      <xdr:col>15</xdr:col>
      <xdr:colOff>285749</xdr:colOff>
      <xdr:row>43</xdr:row>
      <xdr:rowOff>88526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EBD7B7E-CAD2-9F8A-D9C2-93DDB85DB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9525</xdr:rowOff>
    </xdr:from>
    <xdr:to>
      <xdr:col>29</xdr:col>
      <xdr:colOff>28575</xdr:colOff>
      <xdr:row>36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341F65-C126-7C24-84B5-93B049CD85C3}"/>
            </a:ext>
          </a:extLst>
        </xdr:cNvPr>
        <xdr:cNvSpPr txBox="1"/>
      </xdr:nvSpPr>
      <xdr:spPr>
        <a:xfrm>
          <a:off x="152400" y="200025"/>
          <a:ext cx="17554575" cy="683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24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zoomScale="85" zoomScaleNormal="85" workbookViewId="0">
      <selection activeCell="B28" sqref="B28"/>
    </sheetView>
  </sheetViews>
  <sheetFormatPr defaultColWidth="18.7109375" defaultRowHeight="15" x14ac:dyDescent="0.25"/>
  <cols>
    <col min="1" max="1" width="30.7109375" customWidth="1"/>
    <col min="2" max="2" width="20.7109375" customWidth="1"/>
    <col min="11" max="16" width="20.7109375" customWidth="1"/>
  </cols>
  <sheetData>
    <row r="1" spans="1:16" x14ac:dyDescent="0.25">
      <c r="A1" s="15"/>
      <c r="B1" s="13">
        <v>2016</v>
      </c>
      <c r="C1" s="13">
        <v>2017</v>
      </c>
      <c r="D1" s="7">
        <v>2018</v>
      </c>
      <c r="E1" s="13">
        <v>2019</v>
      </c>
      <c r="F1" s="13">
        <v>2020</v>
      </c>
      <c r="G1" s="13">
        <v>2021</v>
      </c>
      <c r="H1" s="13">
        <v>2022</v>
      </c>
      <c r="I1" s="13">
        <v>2023</v>
      </c>
      <c r="J1" s="14" t="s">
        <v>1</v>
      </c>
      <c r="K1" s="13">
        <v>2024</v>
      </c>
      <c r="L1" s="13">
        <v>2025</v>
      </c>
      <c r="M1" s="13">
        <v>2026</v>
      </c>
      <c r="N1" s="13">
        <v>2027</v>
      </c>
      <c r="O1" s="13">
        <v>2028</v>
      </c>
      <c r="P1" s="16" t="s">
        <v>70</v>
      </c>
    </row>
    <row r="2" spans="1:16" x14ac:dyDescent="0.25">
      <c r="A2" s="7" t="s">
        <v>0</v>
      </c>
      <c r="B2" s="23"/>
      <c r="C2" s="23">
        <v>6420</v>
      </c>
      <c r="D2" s="23">
        <v>14790</v>
      </c>
      <c r="E2" s="23">
        <v>44670</v>
      </c>
      <c r="F2" s="23">
        <v>116900</v>
      </c>
      <c r="G2" s="23">
        <v>204550</v>
      </c>
      <c r="H2" s="23">
        <v>276360</v>
      </c>
      <c r="I2" s="23">
        <v>309510</v>
      </c>
      <c r="J2" s="23"/>
      <c r="K2" s="1">
        <f>I2*J3+I2</f>
        <v>357641.21080851892</v>
      </c>
      <c r="L2" s="1">
        <f>K2+K2*$J$3</f>
        <v>413257.19901968748</v>
      </c>
      <c r="M2" s="1">
        <f t="shared" ref="M2:O2" si="0">L2+L2*$J$3</f>
        <v>477521.90569848509</v>
      </c>
      <c r="N2" s="1">
        <f t="shared" si="0"/>
        <v>551780.27379276149</v>
      </c>
      <c r="O2" s="1">
        <f t="shared" si="0"/>
        <v>637586.39533294342</v>
      </c>
      <c r="P2">
        <f>O2*(1+J3)</f>
        <v>736736.03574008239</v>
      </c>
    </row>
    <row r="3" spans="1:16" x14ac:dyDescent="0.25">
      <c r="A3" s="18" t="s">
        <v>42</v>
      </c>
      <c r="C3" s="43"/>
      <c r="D3" s="43">
        <f t="shared" ref="D3:I3" si="1">D2/C2-1</f>
        <v>1.3037383177570092</v>
      </c>
      <c r="E3" s="43">
        <f t="shared" si="1"/>
        <v>2.020283975659229</v>
      </c>
      <c r="F3" s="43">
        <f t="shared" si="1"/>
        <v>1.6169688829191853</v>
      </c>
      <c r="G3" s="43">
        <f t="shared" si="1"/>
        <v>0.7497861420017109</v>
      </c>
      <c r="H3" s="43">
        <f t="shared" si="1"/>
        <v>0.35106330970422883</v>
      </c>
      <c r="I3" s="43">
        <f t="shared" si="1"/>
        <v>0.11995223621363449</v>
      </c>
      <c r="J3" s="18">
        <f>AVERAGE(H3:I3)-8%</f>
        <v>0.15550777295893164</v>
      </c>
      <c r="K3" s="2"/>
      <c r="L3" s="2"/>
      <c r="M3" s="2"/>
      <c r="N3" s="2"/>
      <c r="O3" s="2"/>
    </row>
    <row r="5" spans="1:16" x14ac:dyDescent="0.25">
      <c r="A5" s="7" t="s">
        <v>2</v>
      </c>
      <c r="B5" s="23"/>
      <c r="C5" s="23">
        <v>1030</v>
      </c>
      <c r="D5" s="23">
        <v>3070</v>
      </c>
      <c r="E5" s="23">
        <v>9910</v>
      </c>
      <c r="F5" s="23">
        <v>32980</v>
      </c>
      <c r="G5" s="23">
        <v>46220</v>
      </c>
      <c r="H5" s="23">
        <v>71820</v>
      </c>
      <c r="I5" s="23">
        <v>92090</v>
      </c>
      <c r="J5" s="1"/>
      <c r="K5" s="48">
        <f>I5*(1+J6)</f>
        <v>92090</v>
      </c>
      <c r="L5" s="49">
        <f>K5+K5*$J$8</f>
        <v>110102.32033948219</v>
      </c>
      <c r="M5" s="49">
        <f>L5+L5*$J$8</f>
        <v>131637.75593591001</v>
      </c>
      <c r="N5" s="49">
        <f>M5+M5*$J$8</f>
        <v>157385.40962999387</v>
      </c>
      <c r="O5" s="49">
        <f>N5+N5*$J$8</f>
        <v>188169.16915889032</v>
      </c>
      <c r="P5" s="48">
        <f>O5+O5*$J$8</f>
        <v>224974.07037405096</v>
      </c>
    </row>
    <row r="6" spans="1:16" x14ac:dyDescent="0.25">
      <c r="A6" s="7" t="s">
        <v>68</v>
      </c>
      <c r="B6" s="23"/>
      <c r="C6" s="23">
        <v>5200</v>
      </c>
      <c r="D6" s="23">
        <v>6400</v>
      </c>
      <c r="E6" s="23">
        <v>10000</v>
      </c>
      <c r="F6" s="23">
        <v>14100</v>
      </c>
      <c r="G6" s="23">
        <v>23500</v>
      </c>
      <c r="H6" s="23">
        <v>28800</v>
      </c>
      <c r="I6" s="23">
        <v>41000</v>
      </c>
      <c r="J6" s="1"/>
      <c r="K6" s="1"/>
      <c r="L6" s="1"/>
      <c r="M6" s="1"/>
      <c r="N6" s="1"/>
      <c r="O6" s="1"/>
      <c r="P6" s="1"/>
    </row>
    <row r="7" spans="1:16" x14ac:dyDescent="0.25">
      <c r="A7" s="7" t="s">
        <v>3</v>
      </c>
      <c r="B7" s="1"/>
      <c r="C7" s="1">
        <f t="shared" ref="C7:I7" si="2">SUM(C5:C6)</f>
        <v>6230</v>
      </c>
      <c r="D7" s="1">
        <f t="shared" si="2"/>
        <v>9470</v>
      </c>
      <c r="E7" s="1">
        <f t="shared" si="2"/>
        <v>19910</v>
      </c>
      <c r="F7" s="1">
        <f t="shared" si="2"/>
        <v>47080</v>
      </c>
      <c r="G7" s="1">
        <f t="shared" si="2"/>
        <v>69720</v>
      </c>
      <c r="H7" s="1">
        <f t="shared" si="2"/>
        <v>100620</v>
      </c>
      <c r="I7" s="1">
        <f t="shared" si="2"/>
        <v>133090</v>
      </c>
      <c r="J7" s="1"/>
      <c r="K7" s="1">
        <f>I7*(1+J8)</f>
        <v>159121.70500577352</v>
      </c>
      <c r="L7">
        <f>K7+K7*$J$8</f>
        <v>190245.0747910768</v>
      </c>
      <c r="M7">
        <f>L7+L7*$J$8</f>
        <v>227456.01224515022</v>
      </c>
      <c r="N7">
        <f>M7+M7*$J$8</f>
        <v>271945.21363184613</v>
      </c>
      <c r="O7">
        <f>N7+N7*$J$8</f>
        <v>325136.26915064</v>
      </c>
      <c r="P7" s="1">
        <f>O7+O7*$J$8</f>
        <v>388731.21576726966</v>
      </c>
    </row>
    <row r="8" spans="1:16" x14ac:dyDescent="0.25">
      <c r="A8" s="18" t="s">
        <v>43</v>
      </c>
      <c r="B8" s="22"/>
      <c r="C8" s="43" t="e">
        <f>C7/B7-1</f>
        <v>#DIV/0!</v>
      </c>
      <c r="D8" s="43">
        <f t="shared" ref="D8" si="3">D7/C7-1</f>
        <v>0.52006420545746379</v>
      </c>
      <c r="E8" s="43">
        <f t="shared" ref="E8" si="4">E7/D7-1</f>
        <v>1.1024287222808868</v>
      </c>
      <c r="F8" s="43">
        <f t="shared" ref="F8" si="5">F7/E7-1</f>
        <v>1.3646408839779007</v>
      </c>
      <c r="G8" s="43">
        <f t="shared" ref="G8" si="6">G7/F7-1</f>
        <v>0.48088360237892958</v>
      </c>
      <c r="H8" s="43">
        <f t="shared" ref="H8" si="7">H7/G7-1</f>
        <v>0.44320137693631678</v>
      </c>
      <c r="I8" s="43">
        <f t="shared" ref="I8" si="8">I7/H7-1</f>
        <v>0.32269926455972975</v>
      </c>
      <c r="J8" s="18">
        <f>AVERAGE(G8:I8)-22%</f>
        <v>0.19559474795832535</v>
      </c>
      <c r="K8" s="2"/>
      <c r="L8" s="2"/>
      <c r="M8" s="2"/>
      <c r="N8" s="2"/>
      <c r="O8" s="2"/>
    </row>
    <row r="10" spans="1:16" x14ac:dyDescent="0.25">
      <c r="A10" s="7" t="s">
        <v>67</v>
      </c>
      <c r="B10" s="1"/>
      <c r="C10" s="1">
        <f t="shared" ref="C10:P10" si="9">C2-C7</f>
        <v>190</v>
      </c>
      <c r="D10" s="1">
        <f t="shared" si="9"/>
        <v>5320</v>
      </c>
      <c r="E10" s="1">
        <f t="shared" si="9"/>
        <v>24760</v>
      </c>
      <c r="F10" s="1">
        <f t="shared" si="9"/>
        <v>69820</v>
      </c>
      <c r="G10" s="1">
        <f t="shared" si="9"/>
        <v>134830</v>
      </c>
      <c r="H10" s="1">
        <f t="shared" si="9"/>
        <v>175740</v>
      </c>
      <c r="I10" s="1">
        <f t="shared" si="9"/>
        <v>176420</v>
      </c>
      <c r="J10" s="1"/>
      <c r="K10" s="1">
        <f t="shared" si="9"/>
        <v>198519.50580274541</v>
      </c>
      <c r="L10" s="1">
        <f t="shared" si="9"/>
        <v>223012.12422861069</v>
      </c>
      <c r="M10" s="1">
        <f t="shared" si="9"/>
        <v>250065.89345333487</v>
      </c>
      <c r="N10" s="1">
        <f t="shared" si="9"/>
        <v>279835.06016091537</v>
      </c>
      <c r="O10" s="1">
        <f t="shared" si="9"/>
        <v>312450.12618230341</v>
      </c>
      <c r="P10" s="1">
        <f t="shared" si="9"/>
        <v>348004.81997281272</v>
      </c>
    </row>
    <row r="11" spans="1:16" x14ac:dyDescent="0.25">
      <c r="A11" s="7" t="s">
        <v>5</v>
      </c>
      <c r="B11" s="23"/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1"/>
      <c r="K11" s="1">
        <f t="shared" ref="K11:P11" si="10">K10*$J$12</f>
        <v>25807.535754356904</v>
      </c>
      <c r="L11" s="1">
        <f t="shared" si="10"/>
        <v>28991.576149719389</v>
      </c>
      <c r="M11" s="1">
        <f t="shared" si="10"/>
        <v>32508.566148933533</v>
      </c>
      <c r="N11" s="1">
        <f t="shared" si="10"/>
        <v>36378.557820918999</v>
      </c>
      <c r="O11" s="1">
        <f t="shared" si="10"/>
        <v>40618.516403699447</v>
      </c>
      <c r="P11" s="1">
        <f t="shared" si="10"/>
        <v>45240.626596465656</v>
      </c>
    </row>
    <row r="12" spans="1:16" x14ac:dyDescent="0.25">
      <c r="A12" s="7" t="s">
        <v>66</v>
      </c>
      <c r="B12" s="2" t="e">
        <f t="shared" ref="B12:I12" si="11">B11/B10</f>
        <v>#DIV/0!</v>
      </c>
      <c r="C12" s="2">
        <f t="shared" si="11"/>
        <v>0</v>
      </c>
      <c r="D12" s="2">
        <f t="shared" si="11"/>
        <v>0</v>
      </c>
      <c r="E12" s="2">
        <f t="shared" si="11"/>
        <v>0</v>
      </c>
      <c r="F12" s="2">
        <f t="shared" si="11"/>
        <v>0</v>
      </c>
      <c r="G12" s="2">
        <f t="shared" si="11"/>
        <v>0</v>
      </c>
      <c r="H12" s="2">
        <f t="shared" si="11"/>
        <v>0</v>
      </c>
      <c r="I12" s="2">
        <f t="shared" si="11"/>
        <v>0</v>
      </c>
      <c r="J12" s="18">
        <f>AVERAGE(C12:I12)+13%</f>
        <v>0.13</v>
      </c>
      <c r="K12" s="1"/>
      <c r="L12" s="1"/>
      <c r="M12" s="1"/>
      <c r="N12" s="1"/>
      <c r="O12" s="1"/>
      <c r="P12" s="1"/>
    </row>
    <row r="14" spans="1:16" x14ac:dyDescent="0.25">
      <c r="A14" s="7" t="s">
        <v>7</v>
      </c>
      <c r="B14" s="23"/>
      <c r="D14" s="23">
        <v>2000</v>
      </c>
      <c r="E14" s="23">
        <v>7000</v>
      </c>
      <c r="F14" s="23">
        <v>27000</v>
      </c>
      <c r="G14" s="23">
        <v>44000</v>
      </c>
      <c r="H14" s="23">
        <v>60000</v>
      </c>
      <c r="I14" s="23">
        <v>65000</v>
      </c>
      <c r="J14" s="2"/>
      <c r="K14" s="1">
        <f>I15*(1+$J$8)</f>
        <v>17944.681572106503</v>
      </c>
      <c r="L14" s="1">
        <f>K14*(1+$J$8)</f>
        <v>21454.567041395079</v>
      </c>
      <c r="M14" s="1">
        <f t="shared" ref="M14:P14" si="12">L14*(1+$J$8)</f>
        <v>25650.967674411742</v>
      </c>
      <c r="N14" s="1">
        <f t="shared" si="12"/>
        <v>30668.162231575458</v>
      </c>
      <c r="O14" s="1">
        <f t="shared" si="12"/>
        <v>36666.693693605492</v>
      </c>
      <c r="P14" s="1">
        <f t="shared" si="12"/>
        <v>43838.506405071377</v>
      </c>
    </row>
    <row r="15" spans="1:16" x14ac:dyDescent="0.25">
      <c r="A15" s="7" t="s">
        <v>8</v>
      </c>
      <c r="B15" s="23"/>
      <c r="C15" s="23"/>
      <c r="D15" s="23">
        <v>2229</v>
      </c>
      <c r="E15" s="23">
        <v>8468</v>
      </c>
      <c r="F15" s="23">
        <v>28952</v>
      </c>
      <c r="G15" s="23">
        <v>37454</v>
      </c>
      <c r="H15" s="23">
        <v>37388</v>
      </c>
      <c r="I15" s="23">
        <v>15009</v>
      </c>
      <c r="J15" s="2"/>
      <c r="K15" s="1">
        <f>I16*(1+$J$8)</f>
        <v>17162.015360224286</v>
      </c>
      <c r="L15" s="1">
        <f t="shared" ref="L15:P15" si="13">K15*(1+$J$8)</f>
        <v>20518.815429064263</v>
      </c>
      <c r="M15" s="1">
        <f t="shared" si="13"/>
        <v>24532.187961315485</v>
      </c>
      <c r="N15" s="1">
        <f t="shared" si="13"/>
        <v>29330.55508247525</v>
      </c>
      <c r="O15" s="1">
        <f t="shared" si="13"/>
        <v>35067.457611309772</v>
      </c>
      <c r="P15" s="1">
        <f t="shared" si="13"/>
        <v>41926.468144333165</v>
      </c>
    </row>
    <row r="16" spans="1:16" x14ac:dyDescent="0.25">
      <c r="A16" s="7" t="s">
        <v>41</v>
      </c>
      <c r="B16" s="23"/>
      <c r="C16" s="23"/>
      <c r="D16" s="23">
        <v>5570</v>
      </c>
      <c r="E16" s="23">
        <v>12430</v>
      </c>
      <c r="F16" s="23">
        <v>14320</v>
      </c>
      <c r="G16" s="23">
        <v>18070</v>
      </c>
      <c r="H16" s="23">
        <f>AVERAGE(D16:G16)</f>
        <v>12597.5</v>
      </c>
      <c r="I16" s="23">
        <f t="shared" ref="I16" si="14">AVERAGE(E16:H16)</f>
        <v>14354.375</v>
      </c>
      <c r="K16" s="23">
        <f t="shared" ref="K16" si="15">AVERAGE(G16:J16)</f>
        <v>15007.291666666666</v>
      </c>
      <c r="L16" s="2">
        <f t="shared" ref="L16" si="16">AVERAGE(H16:K16)</f>
        <v>13986.388888888889</v>
      </c>
      <c r="M16" s="1">
        <f t="shared" ref="M16" si="17">AVERAGE(I16:L16)</f>
        <v>14449.351851851852</v>
      </c>
      <c r="N16" s="1">
        <f t="shared" ref="N16" si="18">AVERAGE(J16:M16)</f>
        <v>14481.010802469136</v>
      </c>
      <c r="O16" s="1">
        <f t="shared" ref="O16" si="19">AVERAGE(K16:N16)</f>
        <v>14481.010802469136</v>
      </c>
      <c r="P16" s="1">
        <f t="shared" ref="P16" si="20">AVERAGE(L16:O16)</f>
        <v>14349.440586419752</v>
      </c>
    </row>
    <row r="17" spans="1:16" x14ac:dyDescent="0.25">
      <c r="H17" t="s">
        <v>72</v>
      </c>
    </row>
    <row r="20" spans="1:16" x14ac:dyDescent="0.25">
      <c r="J20" s="5" t="s">
        <v>9</v>
      </c>
      <c r="K20" s="6">
        <f>K10*(1-J12)+K14-K15-K16</f>
        <v>158487.34459360404</v>
      </c>
      <c r="L20" s="6">
        <f t="shared" ref="L20:O20" si="21">L10*(1-K12)+L14-L15-L16</f>
        <v>209961.48695205263</v>
      </c>
      <c r="M20" s="6">
        <f t="shared" si="21"/>
        <v>236735.32131457925</v>
      </c>
      <c r="N20" s="6">
        <f t="shared" si="21"/>
        <v>266691.65650754643</v>
      </c>
      <c r="O20" s="6">
        <f t="shared" si="21"/>
        <v>299568.35146212997</v>
      </c>
      <c r="P20" s="6">
        <f>P10*(1-O12)+P14-P15-P16</f>
        <v>335567.41764713114</v>
      </c>
    </row>
    <row r="21" spans="1:16" x14ac:dyDescent="0.25">
      <c r="A21" s="7" t="s">
        <v>11</v>
      </c>
      <c r="B21" s="17">
        <f>NPV(I27,K20:N20,O21)</f>
        <v>5332556.9534525275</v>
      </c>
      <c r="I21" t="s">
        <v>71</v>
      </c>
      <c r="O21" s="6">
        <f>O20+L28</f>
        <v>7370940.812332496</v>
      </c>
      <c r="P21" s="55"/>
    </row>
    <row r="22" spans="1:16" x14ac:dyDescent="0.25">
      <c r="A22" s="7" t="s">
        <v>12</v>
      </c>
      <c r="B22" s="47">
        <v>165000</v>
      </c>
    </row>
    <row r="23" spans="1:16" x14ac:dyDescent="0.25">
      <c r="A23" s="7" t="s">
        <v>13</v>
      </c>
      <c r="B23" s="47">
        <v>438120</v>
      </c>
    </row>
    <row r="24" spans="1:16" x14ac:dyDescent="0.25">
      <c r="A24" s="7" t="s">
        <v>14</v>
      </c>
      <c r="B24" s="17">
        <f>B21+B22-B23</f>
        <v>5059436.9534525275</v>
      </c>
    </row>
    <row r="25" spans="1:16" x14ac:dyDescent="0.25">
      <c r="A25" t="s">
        <v>15</v>
      </c>
      <c r="B25" s="72">
        <v>28250.843000000001</v>
      </c>
      <c r="H25" t="s">
        <v>10</v>
      </c>
      <c r="I25">
        <v>21</v>
      </c>
      <c r="J25" s="4"/>
      <c r="K25" t="s">
        <v>62</v>
      </c>
      <c r="L25" s="1">
        <f>I25*P20</f>
        <v>7046915.770589754</v>
      </c>
    </row>
    <row r="26" spans="1:16" x14ac:dyDescent="0.25">
      <c r="A26" s="7" t="s">
        <v>16</v>
      </c>
      <c r="B26" s="73">
        <f>B24/B25</f>
        <v>179.08976923104657</v>
      </c>
      <c r="H26" t="s">
        <v>64</v>
      </c>
      <c r="I26" s="3">
        <v>0.05</v>
      </c>
      <c r="K26" t="s">
        <v>63</v>
      </c>
      <c r="L26" s="1">
        <f>P20/(I27-I26)</f>
        <v>7209960.3724605003</v>
      </c>
    </row>
    <row r="27" spans="1:16" x14ac:dyDescent="0.25">
      <c r="A27" s="11" t="s">
        <v>26</v>
      </c>
      <c r="B27" s="17">
        <v>133.18</v>
      </c>
      <c r="H27" t="s">
        <v>22</v>
      </c>
      <c r="I27" s="3">
        <f>WACC!B13</f>
        <v>9.6542200000000009E-2</v>
      </c>
    </row>
    <row r="28" spans="1:16" x14ac:dyDescent="0.25">
      <c r="A28" s="7" t="s">
        <v>27</v>
      </c>
      <c r="B28" s="56">
        <f>B26/B27-1</f>
        <v>0.34471969688426607</v>
      </c>
      <c r="K28" t="s">
        <v>65</v>
      </c>
      <c r="L28" s="1">
        <f>(L25*85+L26*15)/100</f>
        <v>7071372.4608703665</v>
      </c>
    </row>
    <row r="31" spans="1:16" x14ac:dyDescent="0.25">
      <c r="K31" s="1"/>
    </row>
    <row r="33" spans="2:15" x14ac:dyDescent="0.25">
      <c r="B33" s="13"/>
      <c r="C33" s="13"/>
      <c r="D33" s="7"/>
      <c r="E33" s="13"/>
      <c r="F33" s="13"/>
      <c r="G33" s="13"/>
      <c r="H33" s="13"/>
      <c r="I33" s="13"/>
      <c r="L33" s="13"/>
      <c r="M33" s="13"/>
      <c r="N33" s="13"/>
      <c r="O33" s="13"/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D02C-8257-424B-A204-0C90EF0FBBFD}">
  <dimension ref="A4:M18"/>
  <sheetViews>
    <sheetView workbookViewId="0">
      <selection activeCell="B16" sqref="B16"/>
    </sheetView>
  </sheetViews>
  <sheetFormatPr defaultRowHeight="15" x14ac:dyDescent="0.25"/>
  <cols>
    <col min="1" max="1" width="30.7109375" customWidth="1"/>
    <col min="2" max="2" width="12.140625" bestFit="1" customWidth="1"/>
  </cols>
  <sheetData>
    <row r="4" spans="1:13" x14ac:dyDescent="0.25">
      <c r="A4" s="7" t="s">
        <v>17</v>
      </c>
      <c r="B4" s="9">
        <f>B7+(B6*B5)</f>
        <v>0.10312</v>
      </c>
      <c r="C4" s="8"/>
    </row>
    <row r="5" spans="1:13" x14ac:dyDescent="0.25">
      <c r="A5" t="s">
        <v>18</v>
      </c>
      <c r="B5" s="44">
        <v>4.5999999999999999E-2</v>
      </c>
    </row>
    <row r="6" spans="1:13" x14ac:dyDescent="0.25">
      <c r="A6" t="s">
        <v>19</v>
      </c>
      <c r="B6" s="45">
        <v>1.37</v>
      </c>
    </row>
    <row r="7" spans="1:13" x14ac:dyDescent="0.25">
      <c r="A7" t="s">
        <v>20</v>
      </c>
      <c r="B7" s="46">
        <v>4.0099999999999997E-2</v>
      </c>
    </row>
    <row r="9" spans="1:13" x14ac:dyDescent="0.25">
      <c r="A9" s="7" t="s">
        <v>21</v>
      </c>
      <c r="B9" s="19">
        <f>B10*(1-B11)</f>
        <v>6.8500000000000005E-2</v>
      </c>
    </row>
    <row r="10" spans="1:13" x14ac:dyDescent="0.25">
      <c r="A10" t="s">
        <v>25</v>
      </c>
      <c r="B10" s="22">
        <v>6.8500000000000005E-2</v>
      </c>
      <c r="L10" s="8"/>
      <c r="M10" s="4"/>
    </row>
    <row r="11" spans="1:13" x14ac:dyDescent="0.25">
      <c r="A11" t="s">
        <v>6</v>
      </c>
      <c r="B11" s="22">
        <v>0</v>
      </c>
      <c r="L11" s="2"/>
    </row>
    <row r="13" spans="1:13" x14ac:dyDescent="0.25">
      <c r="A13" s="7" t="s">
        <v>22</v>
      </c>
      <c r="B13" s="3">
        <f>(B14*B4)+(B15*B9)*(1-B11)</f>
        <v>9.6542200000000009E-2</v>
      </c>
    </row>
    <row r="14" spans="1:13" x14ac:dyDescent="0.25">
      <c r="A14" t="s">
        <v>23</v>
      </c>
      <c r="B14" s="22">
        <v>0.81</v>
      </c>
    </row>
    <row r="15" spans="1:13" x14ac:dyDescent="0.25">
      <c r="A15" t="s">
        <v>24</v>
      </c>
      <c r="B15" s="22">
        <f>1-B14</f>
        <v>0.18999999999999995</v>
      </c>
    </row>
    <row r="16" spans="1:13" x14ac:dyDescent="0.25">
      <c r="E16" s="10"/>
      <c r="F16" s="3"/>
    </row>
    <row r="17" spans="6:6" x14ac:dyDescent="0.25">
      <c r="F17" s="3"/>
    </row>
    <row r="18" spans="6:6" x14ac:dyDescent="0.25">
      <c r="F18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E5AC-92D0-404E-B814-36062D1B52F9}">
  <dimension ref="A1:N16"/>
  <sheetViews>
    <sheetView workbookViewId="0">
      <selection activeCell="N21" sqref="N21"/>
    </sheetView>
  </sheetViews>
  <sheetFormatPr defaultColWidth="15.7109375" defaultRowHeight="15" x14ac:dyDescent="0.25"/>
  <cols>
    <col min="1" max="1" width="23.7109375" customWidth="1"/>
    <col min="3" max="4" width="16" bestFit="1" customWidth="1"/>
    <col min="14" max="14" width="18.7109375" customWidth="1"/>
  </cols>
  <sheetData>
    <row r="1" spans="1:14" x14ac:dyDescent="0.25">
      <c r="A1" s="7" t="s">
        <v>28</v>
      </c>
      <c r="B1" s="7" t="s">
        <v>30</v>
      </c>
      <c r="C1" s="7" t="s">
        <v>29</v>
      </c>
      <c r="D1" s="7" t="s">
        <v>33</v>
      </c>
      <c r="E1" s="7" t="s">
        <v>34</v>
      </c>
      <c r="F1" s="7" t="s">
        <v>35</v>
      </c>
      <c r="G1" s="7" t="s">
        <v>4</v>
      </c>
      <c r="H1" s="7" t="s">
        <v>36</v>
      </c>
      <c r="I1" s="7" t="s">
        <v>37</v>
      </c>
      <c r="J1" s="7" t="s">
        <v>38</v>
      </c>
      <c r="K1" s="7" t="s">
        <v>39</v>
      </c>
      <c r="L1" s="7" t="s">
        <v>40</v>
      </c>
    </row>
    <row r="2" spans="1:14" x14ac:dyDescent="0.25">
      <c r="A2" s="74" t="s">
        <v>73</v>
      </c>
      <c r="B2" s="1">
        <v>23.37</v>
      </c>
      <c r="C2" s="1">
        <v>9810000</v>
      </c>
      <c r="D2" s="1">
        <f>C2+2790000-334000</f>
        <v>12266000</v>
      </c>
      <c r="E2" s="1">
        <v>900000</v>
      </c>
      <c r="F2" s="1">
        <v>620220</v>
      </c>
      <c r="G2" s="1">
        <v>350970</v>
      </c>
      <c r="H2" s="1">
        <v>236710</v>
      </c>
      <c r="I2">
        <f>D2/E2</f>
        <v>13.628888888888889</v>
      </c>
      <c r="J2">
        <f>D2/F2</f>
        <v>19.776853374609011</v>
      </c>
      <c r="K2">
        <f>D2/G2</f>
        <v>34.948856027580703</v>
      </c>
      <c r="L2">
        <f>C2/H2</f>
        <v>41.443116049174094</v>
      </c>
    </row>
    <row r="3" spans="1:14" x14ac:dyDescent="0.25">
      <c r="A3" s="74" t="s">
        <v>74</v>
      </c>
      <c r="B3" s="1">
        <v>118.94</v>
      </c>
      <c r="C3" s="1">
        <v>111750000</v>
      </c>
      <c r="D3" s="1">
        <f>C3+35200000-530000</f>
        <v>146420000</v>
      </c>
      <c r="E3" s="1">
        <v>7890000</v>
      </c>
      <c r="F3" s="1">
        <v>5400000</v>
      </c>
      <c r="G3" s="1">
        <v>3100000</v>
      </c>
      <c r="H3" s="1">
        <v>3080000</v>
      </c>
      <c r="I3">
        <f t="shared" ref="I3:I6" si="0">D3/E3</f>
        <v>18.557667934093789</v>
      </c>
      <c r="J3">
        <f t="shared" ref="J3:J6" si="1">D3/F3</f>
        <v>27.114814814814814</v>
      </c>
      <c r="K3">
        <f t="shared" ref="K3:K6" si="2">D3/G3</f>
        <v>47.232258064516131</v>
      </c>
      <c r="L3">
        <f t="shared" ref="L3:L6" si="3">C3/H3</f>
        <v>36.282467532467535</v>
      </c>
    </row>
    <row r="4" spans="1:14" x14ac:dyDescent="0.25">
      <c r="A4" s="74" t="s">
        <v>75</v>
      </c>
      <c r="B4" s="1">
        <v>55</v>
      </c>
      <c r="C4" s="1">
        <v>7420000</v>
      </c>
      <c r="D4" s="1">
        <f>C4+2540000-4380000</f>
        <v>5580000</v>
      </c>
      <c r="E4" s="1">
        <v>651330</v>
      </c>
      <c r="F4" s="1">
        <v>432820</v>
      </c>
      <c r="G4" s="1">
        <v>26299</v>
      </c>
      <c r="H4" s="1">
        <v>308110</v>
      </c>
      <c r="I4">
        <f t="shared" si="0"/>
        <v>8.5670858090368931</v>
      </c>
      <c r="J4">
        <f t="shared" si="1"/>
        <v>12.892195369899728</v>
      </c>
      <c r="K4">
        <f t="shared" si="2"/>
        <v>212.17536788471045</v>
      </c>
      <c r="L4">
        <f t="shared" si="3"/>
        <v>24.082308266528187</v>
      </c>
    </row>
    <row r="5" spans="1:14" x14ac:dyDescent="0.25">
      <c r="A5" s="74" t="s">
        <v>77</v>
      </c>
      <c r="B5" s="1">
        <v>51.68</v>
      </c>
      <c r="C5" s="1">
        <v>2820000</v>
      </c>
      <c r="D5" s="1">
        <f>C5+1930000-330000</f>
        <v>4420000</v>
      </c>
      <c r="E5" s="1">
        <v>340420</v>
      </c>
      <c r="F5" s="1">
        <v>245810</v>
      </c>
      <c r="G5" s="1">
        <v>62280</v>
      </c>
      <c r="H5" s="1">
        <v>30150</v>
      </c>
      <c r="I5">
        <f t="shared" si="0"/>
        <v>12.983960989366077</v>
      </c>
      <c r="J5">
        <f t="shared" si="1"/>
        <v>17.981367723038119</v>
      </c>
      <c r="K5">
        <f t="shared" si="2"/>
        <v>70.969813744380218</v>
      </c>
      <c r="L5">
        <f t="shared" si="3"/>
        <v>93.53233830845771</v>
      </c>
    </row>
    <row r="6" spans="1:14" x14ac:dyDescent="0.25">
      <c r="A6" t="s">
        <v>76</v>
      </c>
      <c r="B6" s="1">
        <v>131.47999999999999</v>
      </c>
      <c r="C6" s="1">
        <v>3710000</v>
      </c>
      <c r="D6" s="1">
        <f>C6+430000-163000</f>
        <v>3977000</v>
      </c>
      <c r="E6" s="1">
        <v>312230</v>
      </c>
      <c r="F6" s="1">
        <v>244030</v>
      </c>
      <c r="G6" s="1">
        <v>175630</v>
      </c>
      <c r="H6" s="1">
        <v>162790</v>
      </c>
      <c r="I6">
        <f t="shared" si="0"/>
        <v>12.737405118021972</v>
      </c>
      <c r="J6">
        <f t="shared" si="1"/>
        <v>16.297176576650411</v>
      </c>
      <c r="K6">
        <f t="shared" si="2"/>
        <v>22.644195183055288</v>
      </c>
      <c r="L6">
        <f t="shared" si="3"/>
        <v>22.790097671847164</v>
      </c>
    </row>
    <row r="7" spans="1:14" x14ac:dyDescent="0.25">
      <c r="B7" s="1"/>
      <c r="C7" s="1"/>
      <c r="D7" s="1"/>
      <c r="E7" s="1"/>
      <c r="F7" s="1"/>
      <c r="G7" s="1"/>
      <c r="H7" s="1"/>
    </row>
    <row r="8" spans="1:14" x14ac:dyDescent="0.25">
      <c r="B8" s="1"/>
      <c r="C8" s="1"/>
      <c r="D8" s="1"/>
      <c r="E8" s="1"/>
      <c r="F8" s="1"/>
      <c r="G8" s="1"/>
      <c r="H8" s="1"/>
    </row>
    <row r="9" spans="1:14" x14ac:dyDescent="0.25">
      <c r="B9" s="1"/>
      <c r="C9" s="1"/>
      <c r="D9" s="1"/>
      <c r="E9" s="1"/>
      <c r="F9" s="1"/>
      <c r="G9" s="1"/>
      <c r="H9" s="1"/>
    </row>
    <row r="10" spans="1:14" x14ac:dyDescent="0.25">
      <c r="B10" s="1"/>
      <c r="C10" s="1"/>
      <c r="D10" s="1"/>
      <c r="E10" s="1"/>
      <c r="F10" s="1"/>
      <c r="G10" s="1"/>
      <c r="H10" s="1"/>
    </row>
    <row r="14" spans="1:14" ht="15.75" thickBot="1" x14ac:dyDescent="0.3"/>
    <row r="15" spans="1:14" ht="15.75" thickBot="1" x14ac:dyDescent="0.3">
      <c r="A15" s="7" t="s">
        <v>31</v>
      </c>
      <c r="I15" s="12">
        <f>AVERAGE(I2:I5)</f>
        <v>13.434400905346413</v>
      </c>
      <c r="J15" s="12">
        <f t="shared" ref="J15:L15" si="4">AVERAGE(J2:J5)</f>
        <v>19.441307820590417</v>
      </c>
      <c r="K15" s="12">
        <f t="shared" si="4"/>
        <v>91.331573930296884</v>
      </c>
      <c r="L15" s="12">
        <f t="shared" si="4"/>
        <v>48.835057539156878</v>
      </c>
      <c r="N15" s="76" t="s">
        <v>79</v>
      </c>
    </row>
    <row r="16" spans="1:14" ht="15.75" thickBot="1" x14ac:dyDescent="0.3">
      <c r="A16" s="7" t="s">
        <v>32</v>
      </c>
      <c r="I16" s="20">
        <f>1-(I6/I15)</f>
        <v>5.18814193677265E-2</v>
      </c>
      <c r="J16" s="20">
        <f>1-(J6/J15)</f>
        <v>0.16172426633819537</v>
      </c>
      <c r="K16" s="20">
        <f>1-(K6/K15)</f>
        <v>0.75206607957575489</v>
      </c>
      <c r="L16" s="20">
        <f>1-(L6/L15)</f>
        <v>0.53332505744313641</v>
      </c>
      <c r="N16" s="77">
        <f>AVERAGE(I16:L16)</f>
        <v>0.37474920568120329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CAAAA-9EB6-4823-9579-2E718701566C}">
  <dimension ref="D3:P28"/>
  <sheetViews>
    <sheetView workbookViewId="0">
      <selection activeCell="G23" sqref="G23"/>
    </sheetView>
  </sheetViews>
  <sheetFormatPr defaultRowHeight="15" x14ac:dyDescent="0.25"/>
  <cols>
    <col min="4" max="16" width="11.7109375" customWidth="1"/>
    <col min="21" max="21" width="11.7109375" customWidth="1"/>
  </cols>
  <sheetData>
    <row r="3" spans="4:16" x14ac:dyDescent="0.25">
      <c r="D3" s="75" t="s">
        <v>69</v>
      </c>
      <c r="E3" s="75"/>
      <c r="F3" s="75"/>
      <c r="H3" s="21" t="s">
        <v>59</v>
      </c>
      <c r="I3" s="21" t="s">
        <v>60</v>
      </c>
      <c r="J3" s="21" t="s">
        <v>61</v>
      </c>
      <c r="K3" s="21" t="s">
        <v>54</v>
      </c>
      <c r="L3" s="21" t="s">
        <v>55</v>
      </c>
      <c r="M3" s="21" t="s">
        <v>56</v>
      </c>
      <c r="N3" s="21" t="s">
        <v>57</v>
      </c>
      <c r="O3" s="21" t="s">
        <v>58</v>
      </c>
      <c r="P3" s="21" t="s">
        <v>70</v>
      </c>
    </row>
    <row r="4" spans="4:16" ht="21" x14ac:dyDescent="0.3">
      <c r="D4" s="25"/>
      <c r="E4" s="24"/>
      <c r="F4" s="26"/>
      <c r="G4" s="26"/>
      <c r="H4" s="26"/>
      <c r="I4" s="26"/>
      <c r="J4" s="26"/>
      <c r="K4" s="27"/>
      <c r="L4" s="27"/>
      <c r="M4" s="27"/>
      <c r="N4" s="27"/>
      <c r="O4" s="27"/>
    </row>
    <row r="5" spans="4:16" ht="15.75" x14ac:dyDescent="0.3">
      <c r="D5" s="28" t="s">
        <v>44</v>
      </c>
      <c r="E5" s="29"/>
      <c r="F5" s="30"/>
      <c r="G5" s="31"/>
      <c r="H5" s="42">
        <v>365</v>
      </c>
      <c r="I5" s="42">
        <v>365</v>
      </c>
      <c r="J5" s="42">
        <v>365</v>
      </c>
      <c r="K5" s="42">
        <v>365</v>
      </c>
      <c r="L5" s="42">
        <v>365</v>
      </c>
      <c r="M5" s="42">
        <v>365</v>
      </c>
      <c r="N5" s="42">
        <v>365</v>
      </c>
      <c r="O5" s="42">
        <v>365</v>
      </c>
    </row>
    <row r="6" spans="4:16" ht="15.75" x14ac:dyDescent="0.3">
      <c r="D6" s="28" t="s">
        <v>45</v>
      </c>
      <c r="E6" s="31"/>
      <c r="F6" s="31"/>
      <c r="G6" s="31"/>
      <c r="H6" s="50">
        <f>FCF!G2</f>
        <v>204550</v>
      </c>
      <c r="I6" s="51">
        <f>FCF!H2</f>
        <v>276360</v>
      </c>
      <c r="J6" s="51">
        <f>FCF!I2</f>
        <v>309510</v>
      </c>
      <c r="K6" s="51">
        <f>FCF!K2</f>
        <v>357641.21080851892</v>
      </c>
      <c r="L6" s="51">
        <f>FCF!L2</f>
        <v>413257.19901968748</v>
      </c>
      <c r="M6" s="51">
        <f>FCF!M2</f>
        <v>477521.90569848509</v>
      </c>
      <c r="N6" s="51">
        <f>FCF!N2</f>
        <v>551780.27379276149</v>
      </c>
      <c r="O6" s="51">
        <f>FCF!O2</f>
        <v>637586.39533294342</v>
      </c>
    </row>
    <row r="7" spans="4:16" ht="15.75" x14ac:dyDescent="0.3">
      <c r="D7" s="28" t="s">
        <v>2</v>
      </c>
      <c r="E7" s="31"/>
      <c r="F7" s="31"/>
      <c r="G7" s="31"/>
      <c r="H7" s="52">
        <f>FCF!G5</f>
        <v>46220</v>
      </c>
      <c r="I7" s="53">
        <f>FCF!H5</f>
        <v>71820</v>
      </c>
      <c r="J7" s="53">
        <f>FCF!I5</f>
        <v>92090</v>
      </c>
      <c r="K7" s="53">
        <f>FCF!K5</f>
        <v>92090</v>
      </c>
      <c r="L7" s="53">
        <f>FCF!L5</f>
        <v>110102.32033948219</v>
      </c>
      <c r="M7" s="53">
        <f>FCF!M5</f>
        <v>131637.75593591001</v>
      </c>
      <c r="N7" s="53">
        <f>FCF!N5</f>
        <v>157385.40962999387</v>
      </c>
      <c r="O7" s="54">
        <f>FCF!O5</f>
        <v>188169.16915889032</v>
      </c>
    </row>
    <row r="8" spans="4:16" ht="16.5" x14ac:dyDescent="0.3">
      <c r="D8" s="32"/>
      <c r="E8" s="33"/>
      <c r="F8" s="31"/>
      <c r="G8" s="31"/>
      <c r="H8" s="31"/>
      <c r="I8" s="31"/>
      <c r="J8" s="31"/>
      <c r="K8" s="34"/>
      <c r="L8" s="34"/>
      <c r="M8" s="34"/>
      <c r="N8" s="34"/>
      <c r="O8" s="34"/>
    </row>
    <row r="9" spans="4:16" ht="16.5" x14ac:dyDescent="0.3">
      <c r="D9" s="32"/>
      <c r="E9" s="33"/>
      <c r="F9" s="31"/>
      <c r="G9" s="31"/>
      <c r="H9" s="31"/>
      <c r="I9" s="31"/>
      <c r="J9" s="31"/>
      <c r="K9" s="34"/>
      <c r="L9" s="34"/>
      <c r="M9" s="34"/>
      <c r="N9" s="34"/>
      <c r="O9" s="34"/>
    </row>
    <row r="10" spans="4:16" ht="15.75" x14ac:dyDescent="0.3">
      <c r="D10" s="35" t="s">
        <v>46</v>
      </c>
      <c r="E10" s="33"/>
      <c r="F10" s="31"/>
      <c r="G10" s="31"/>
      <c r="H10" s="31"/>
      <c r="I10" s="31"/>
      <c r="J10" s="31"/>
      <c r="K10" s="34"/>
      <c r="L10" s="34"/>
      <c r="M10" s="34"/>
      <c r="N10" s="34"/>
      <c r="O10" s="34"/>
    </row>
    <row r="11" spans="4:16" ht="15.75" x14ac:dyDescent="0.3">
      <c r="D11" s="36" t="s">
        <v>47</v>
      </c>
      <c r="E11" s="31"/>
      <c r="F11" s="30" t="s">
        <v>48</v>
      </c>
      <c r="G11" s="30"/>
      <c r="H11" s="37">
        <f>SCHEDULES!H17/SCHEDULES!H6*SCHEDULES!H5</f>
        <v>0</v>
      </c>
      <c r="I11" s="37">
        <f>SCHEDULES!I17/SCHEDULES!I6*SCHEDULES!I5</f>
        <v>0</v>
      </c>
      <c r="J11" s="37">
        <f>SCHEDULES!J17/SCHEDULES!J6*SCHEDULES!J5</f>
        <v>0</v>
      </c>
      <c r="K11" s="37" t="e">
        <v>#DIV/0!</v>
      </c>
      <c r="L11" s="37"/>
      <c r="M11" s="37"/>
      <c r="N11" s="37"/>
      <c r="O11" s="37"/>
    </row>
    <row r="12" spans="4:16" ht="15.75" x14ac:dyDescent="0.3">
      <c r="D12" s="36" t="s">
        <v>49</v>
      </c>
      <c r="E12" s="31"/>
      <c r="F12" s="30" t="s">
        <v>48</v>
      </c>
      <c r="G12" s="30"/>
      <c r="H12" s="37">
        <f>(H18/H7)*H5</f>
        <v>0</v>
      </c>
      <c r="I12" s="37">
        <f t="shared" ref="I12:J12" si="0">(I18/I7)*I5</f>
        <v>0</v>
      </c>
      <c r="J12" s="37">
        <f t="shared" si="0"/>
        <v>0</v>
      </c>
      <c r="K12" s="37" t="e">
        <v>#DIV/0!</v>
      </c>
      <c r="L12" s="37"/>
      <c r="M12" s="37"/>
      <c r="N12" s="37"/>
      <c r="O12" s="37"/>
    </row>
    <row r="13" spans="4:16" ht="15.75" x14ac:dyDescent="0.3">
      <c r="D13" s="36" t="s">
        <v>50</v>
      </c>
      <c r="E13" s="31"/>
      <c r="F13" s="30" t="s">
        <v>48</v>
      </c>
      <c r="G13" s="30"/>
      <c r="H13" s="37">
        <f>(H19/H7)*H5</f>
        <v>6.0949156209433149E-2</v>
      </c>
      <c r="I13" s="37">
        <f>(I19/I7)*I5</f>
        <v>5.3947020328599278E-2</v>
      </c>
      <c r="J13" s="37">
        <f t="shared" ref="J13" si="1">(J19/J7)*J5</f>
        <v>4.5207840156368778E-2</v>
      </c>
      <c r="K13" s="37" t="e">
        <v>#DIV/0!</v>
      </c>
      <c r="L13" s="37"/>
      <c r="M13" s="37"/>
      <c r="N13" s="37"/>
      <c r="O13" s="37"/>
    </row>
    <row r="14" spans="4:16" ht="16.5" x14ac:dyDescent="0.3">
      <c r="D14" s="32"/>
      <c r="E14" s="31"/>
      <c r="F14" s="38"/>
      <c r="G14" s="38"/>
      <c r="H14" s="39"/>
      <c r="I14" s="40"/>
      <c r="J14" s="40"/>
      <c r="K14" s="41"/>
      <c r="L14" s="41"/>
      <c r="M14" s="41"/>
      <c r="N14" s="41"/>
      <c r="O14" s="41"/>
    </row>
    <row r="15" spans="4:16" ht="16.5" x14ac:dyDescent="0.3">
      <c r="D15" s="32"/>
      <c r="E15" s="31"/>
      <c r="F15" s="38"/>
      <c r="G15" s="38"/>
      <c r="H15" s="39"/>
      <c r="I15" s="40"/>
      <c r="J15" s="40"/>
      <c r="K15" s="41"/>
      <c r="L15" s="41"/>
      <c r="M15" s="41"/>
      <c r="N15" s="41"/>
      <c r="O15" s="41"/>
    </row>
    <row r="16" spans="4:16" ht="15.75" x14ac:dyDescent="0.3">
      <c r="D16" s="57" t="s">
        <v>51</v>
      </c>
      <c r="E16" s="58"/>
      <c r="F16" s="59"/>
      <c r="G16" s="59"/>
      <c r="H16" s="59"/>
      <c r="I16" s="59"/>
      <c r="J16" s="59"/>
      <c r="K16" s="60"/>
      <c r="L16" s="60"/>
      <c r="M16" s="60"/>
      <c r="N16" s="60"/>
      <c r="O16" s="60"/>
      <c r="P16" s="61"/>
    </row>
    <row r="17" spans="4:16" ht="15.75" x14ac:dyDescent="0.3">
      <c r="D17" s="62" t="s">
        <v>47</v>
      </c>
      <c r="E17" s="59"/>
      <c r="F17" s="59"/>
      <c r="G17" s="63"/>
      <c r="H17" s="61"/>
      <c r="I17" s="61"/>
      <c r="J17" s="61"/>
      <c r="K17" s="59" t="e">
        <f>(K11/K5)*K6</f>
        <v>#DIV/0!</v>
      </c>
      <c r="L17" s="63">
        <f t="shared" ref="L17:O17" si="2">(L11/L5)*L6</f>
        <v>0</v>
      </c>
      <c r="M17" s="63">
        <f t="shared" si="2"/>
        <v>0</v>
      </c>
      <c r="N17" s="63">
        <f t="shared" si="2"/>
        <v>0</v>
      </c>
      <c r="O17" s="63">
        <f t="shared" si="2"/>
        <v>0</v>
      </c>
      <c r="P17" s="61"/>
    </row>
    <row r="18" spans="4:16" ht="15.75" x14ac:dyDescent="0.3">
      <c r="D18" s="62" t="s">
        <v>49</v>
      </c>
      <c r="E18" s="59"/>
      <c r="F18" s="59"/>
      <c r="G18" s="63"/>
      <c r="H18" s="63"/>
      <c r="I18" s="63"/>
      <c r="J18" s="63"/>
      <c r="K18" s="59" t="e">
        <f>(K12/K5)*K7</f>
        <v>#DIV/0!</v>
      </c>
      <c r="L18" s="63">
        <f t="shared" ref="L18:O18" si="3">(L12/L5)*L7</f>
        <v>0</v>
      </c>
      <c r="M18" s="63">
        <f t="shared" si="3"/>
        <v>0</v>
      </c>
      <c r="N18" s="63">
        <f t="shared" si="3"/>
        <v>0</v>
      </c>
      <c r="O18" s="63">
        <f t="shared" si="3"/>
        <v>0</v>
      </c>
      <c r="P18" s="61"/>
    </row>
    <row r="19" spans="4:16" ht="15.75" x14ac:dyDescent="0.3">
      <c r="D19" s="62" t="s">
        <v>50</v>
      </c>
      <c r="E19" s="59"/>
      <c r="F19" s="59"/>
      <c r="G19" s="61">
        <v>4.641</v>
      </c>
      <c r="H19" s="61">
        <v>7.718</v>
      </c>
      <c r="I19" s="61">
        <v>10.615</v>
      </c>
      <c r="J19" s="61">
        <v>11.406000000000001</v>
      </c>
      <c r="K19" s="59" t="e">
        <f>(K13/K5)*K7</f>
        <v>#DIV/0!</v>
      </c>
      <c r="L19" s="63">
        <f t="shared" ref="L19:O19" si="4">(L13/L5)*L7</f>
        <v>0</v>
      </c>
      <c r="M19" s="63">
        <f t="shared" si="4"/>
        <v>0</v>
      </c>
      <c r="N19" s="63">
        <f t="shared" si="4"/>
        <v>0</v>
      </c>
      <c r="O19" s="63">
        <f t="shared" si="4"/>
        <v>0</v>
      </c>
      <c r="P19" s="61"/>
    </row>
    <row r="20" spans="4:16" ht="16.5" x14ac:dyDescent="0.3">
      <c r="D20" s="64"/>
      <c r="E20" s="58"/>
      <c r="F20" s="59"/>
      <c r="G20" s="59"/>
      <c r="H20" s="59"/>
      <c r="I20" s="59"/>
      <c r="J20" s="59"/>
      <c r="K20" s="60"/>
      <c r="L20" s="60"/>
      <c r="M20" s="60"/>
      <c r="N20" s="60"/>
      <c r="O20" s="60"/>
      <c r="P20" s="61"/>
    </row>
    <row r="21" spans="4:16" ht="16.5" x14ac:dyDescent="0.3">
      <c r="D21" s="65"/>
      <c r="E21" s="66"/>
      <c r="F21" s="67"/>
      <c r="G21" s="67"/>
      <c r="H21" s="67"/>
      <c r="I21" s="67"/>
      <c r="J21" s="67"/>
      <c r="K21" s="68"/>
      <c r="L21" s="68"/>
      <c r="M21" s="68"/>
      <c r="N21" s="68"/>
      <c r="O21" s="68"/>
      <c r="P21" s="61"/>
    </row>
    <row r="22" spans="4:16" ht="16.5" x14ac:dyDescent="0.3">
      <c r="D22" s="64"/>
      <c r="E22" s="58"/>
      <c r="F22" s="59"/>
      <c r="G22" s="59" t="s">
        <v>78</v>
      </c>
      <c r="H22" s="59"/>
      <c r="I22" s="59"/>
      <c r="J22" s="59"/>
      <c r="K22" s="60"/>
      <c r="L22" s="60"/>
      <c r="M22" s="60"/>
      <c r="N22" s="60"/>
      <c r="O22" s="60"/>
      <c r="P22" s="61"/>
    </row>
    <row r="23" spans="4:16" ht="16.5" x14ac:dyDescent="0.3">
      <c r="D23" s="64"/>
      <c r="E23" s="58"/>
      <c r="F23" s="59"/>
      <c r="G23" s="59"/>
      <c r="H23" s="59"/>
      <c r="I23" s="59"/>
      <c r="J23" s="59"/>
      <c r="K23" s="60"/>
      <c r="L23" s="60"/>
      <c r="M23" s="60"/>
      <c r="N23" s="60"/>
      <c r="O23" s="60"/>
      <c r="P23" s="61"/>
    </row>
    <row r="24" spans="4:16" ht="15.75" x14ac:dyDescent="0.3">
      <c r="D24" s="57" t="s">
        <v>52</v>
      </c>
      <c r="E24" s="58"/>
      <c r="F24" s="59"/>
      <c r="G24" s="59"/>
      <c r="H24" s="59"/>
      <c r="I24" s="63"/>
      <c r="J24" s="63"/>
      <c r="K24" s="63"/>
      <c r="L24" s="63"/>
      <c r="M24" s="63"/>
      <c r="N24" s="63"/>
      <c r="O24" s="63"/>
      <c r="P24" s="61"/>
    </row>
    <row r="25" spans="4:16" ht="15.75" x14ac:dyDescent="0.3">
      <c r="D25" s="62" t="s">
        <v>47</v>
      </c>
      <c r="E25" s="59"/>
      <c r="F25" s="59"/>
      <c r="G25" s="59"/>
      <c r="H25" s="69"/>
      <c r="I25" s="63">
        <f t="shared" ref="I25:O26" si="5">H17-I17</f>
        <v>0</v>
      </c>
      <c r="J25" s="63">
        <f t="shared" si="5"/>
        <v>0</v>
      </c>
      <c r="K25" s="63" t="e">
        <f t="shared" si="5"/>
        <v>#DIV/0!</v>
      </c>
      <c r="L25" s="63" t="e">
        <f t="shared" si="5"/>
        <v>#DIV/0!</v>
      </c>
      <c r="M25" s="63">
        <f t="shared" si="5"/>
        <v>0</v>
      </c>
      <c r="N25" s="63">
        <f t="shared" si="5"/>
        <v>0</v>
      </c>
      <c r="O25" s="63">
        <f t="shared" si="5"/>
        <v>0</v>
      </c>
      <c r="P25" s="61"/>
    </row>
    <row r="26" spans="4:16" ht="15.75" x14ac:dyDescent="0.3">
      <c r="D26" s="62" t="s">
        <v>49</v>
      </c>
      <c r="E26" s="59"/>
      <c r="F26" s="59"/>
      <c r="G26" s="59"/>
      <c r="H26" s="69"/>
      <c r="I26" s="63">
        <f t="shared" si="5"/>
        <v>0</v>
      </c>
      <c r="J26" s="63">
        <f t="shared" si="5"/>
        <v>0</v>
      </c>
      <c r="K26" s="63" t="e">
        <f>J18-K18</f>
        <v>#DIV/0!</v>
      </c>
      <c r="L26" s="63" t="e">
        <f>K18-L18</f>
        <v>#DIV/0!</v>
      </c>
      <c r="M26" s="63">
        <f>L18-M18</f>
        <v>0</v>
      </c>
      <c r="N26" s="63">
        <f>M18-N18</f>
        <v>0</v>
      </c>
      <c r="O26" s="63">
        <f t="shared" si="5"/>
        <v>0</v>
      </c>
      <c r="P26" s="61"/>
    </row>
    <row r="27" spans="4:16" ht="15.75" x14ac:dyDescent="0.3">
      <c r="D27" s="62" t="s">
        <v>50</v>
      </c>
      <c r="E27" s="59"/>
      <c r="F27" s="59"/>
      <c r="G27" s="59"/>
      <c r="H27" s="69"/>
      <c r="I27" s="63">
        <f>I19-H19</f>
        <v>2.8970000000000002</v>
      </c>
      <c r="J27" s="63">
        <f t="shared" ref="J27:O27" si="6">J19-I19</f>
        <v>0.79100000000000037</v>
      </c>
      <c r="K27" s="63" t="e">
        <f t="shared" si="6"/>
        <v>#DIV/0!</v>
      </c>
      <c r="L27" s="63" t="e">
        <f t="shared" si="6"/>
        <v>#DIV/0!</v>
      </c>
      <c r="M27" s="63">
        <f t="shared" si="6"/>
        <v>0</v>
      </c>
      <c r="N27" s="63">
        <f t="shared" si="6"/>
        <v>0</v>
      </c>
      <c r="O27" s="63">
        <f t="shared" si="6"/>
        <v>0</v>
      </c>
      <c r="P27" s="61"/>
    </row>
    <row r="28" spans="4:16" ht="16.5" thickBot="1" x14ac:dyDescent="0.35">
      <c r="D28" s="62" t="s">
        <v>53</v>
      </c>
      <c r="E28" s="58"/>
      <c r="F28" s="58"/>
      <c r="G28" s="58"/>
      <c r="H28" s="58"/>
      <c r="I28" s="70">
        <f>SUM(I25:I27)</f>
        <v>2.8970000000000002</v>
      </c>
      <c r="J28" s="70">
        <f t="shared" ref="J28:O28" si="7">SUM(J25:J27)</f>
        <v>0.79100000000000037</v>
      </c>
      <c r="K28" s="70" t="e">
        <f t="shared" si="7"/>
        <v>#DIV/0!</v>
      </c>
      <c r="L28" s="70" t="e">
        <f t="shared" si="7"/>
        <v>#DIV/0!</v>
      </c>
      <c r="M28" s="70">
        <f t="shared" si="7"/>
        <v>0</v>
      </c>
      <c r="N28" s="70">
        <f t="shared" si="7"/>
        <v>0</v>
      </c>
      <c r="O28" s="70">
        <f t="shared" si="7"/>
        <v>0</v>
      </c>
      <c r="P28" s="71">
        <f>O28</f>
        <v>0</v>
      </c>
    </row>
  </sheetData>
  <mergeCells count="1">
    <mergeCell ref="D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37D86-A501-46EB-9463-7F18DC6294A5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FCF</vt:lpstr>
      <vt:lpstr>WACC</vt:lpstr>
      <vt:lpstr>CCA</vt:lpstr>
      <vt:lpstr>SCHEDULES</vt:lpstr>
      <vt:lpstr>ABOUT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furkan panayir</dc:creator>
  <cp:lastModifiedBy>furkan panayir</cp:lastModifiedBy>
  <dcterms:created xsi:type="dcterms:W3CDTF">2015-06-05T18:17:20Z</dcterms:created>
  <dcterms:modified xsi:type="dcterms:W3CDTF">2024-10-22T22:09:32Z</dcterms:modified>
</cp:coreProperties>
</file>