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6237f9b02a2a353/Masaüstü/DOSYALARIM/Hisse ve Şirket değerleme/"/>
    </mc:Choice>
  </mc:AlternateContent>
  <xr:revisionPtr revIDLastSave="5" documentId="8_{B1E05303-A986-4891-B7D0-FD384B85AB75}" xr6:coauthVersionLast="47" xr6:coauthVersionMax="47" xr10:uidLastSave="{5086ECEE-59E7-46B3-B5B4-EBFC906C80CB}"/>
  <bookViews>
    <workbookView xWindow="-120" yWindow="-120" windowWidth="29040" windowHeight="15720" xr2:uid="{00000000-000D-0000-FFFF-FFFF00000000}"/>
  </bookViews>
  <sheets>
    <sheet name="FCF" sheetId="1" r:id="rId1"/>
    <sheet name="ASSUMPTIONS" sheetId="7" r:id="rId2"/>
    <sheet name="WACC" sheetId="2" r:id="rId3"/>
    <sheet name="SCHEDULES" sheetId="6" r:id="rId4"/>
    <sheet name="CCA" sheetId="3" r:id="rId5"/>
    <sheet name="ABOUT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19" i="3"/>
  <c r="J20" i="3" s="1"/>
  <c r="K19" i="3"/>
  <c r="K20" i="3" s="1"/>
  <c r="L19" i="3"/>
  <c r="L20" i="3" s="1"/>
  <c r="M19" i="3"/>
  <c r="M20" i="3" s="1"/>
  <c r="E10" i="3" l="1"/>
  <c r="E9" i="3"/>
  <c r="E8" i="3"/>
  <c r="E7" i="3"/>
  <c r="E6" i="3"/>
  <c r="G18" i="2" l="1"/>
  <c r="G13" i="2"/>
  <c r="G8" i="2" l="1"/>
  <c r="H30" i="1" l="1"/>
  <c r="J6" i="1" l="1"/>
  <c r="K6" i="1" s="1"/>
  <c r="L6" i="1" s="1"/>
  <c r="M6" i="1" s="1"/>
  <c r="N6" i="1" s="1"/>
  <c r="O6" i="1" s="1"/>
  <c r="H29" i="1"/>
  <c r="J9" i="1"/>
  <c r="D11" i="1"/>
  <c r="E11" i="1"/>
  <c r="F11" i="1"/>
  <c r="K7" i="6" l="1"/>
  <c r="J7" i="6"/>
  <c r="I7" i="6"/>
  <c r="H7" i="6"/>
  <c r="J6" i="6"/>
  <c r="J11" i="6" s="1"/>
  <c r="I6" i="6"/>
  <c r="I11" i="6" s="1"/>
  <c r="H6" i="6"/>
  <c r="H11" i="6" s="1"/>
  <c r="J26" i="6"/>
  <c r="I27" i="6"/>
  <c r="I26" i="6"/>
  <c r="J25" i="6"/>
  <c r="I25" i="6"/>
  <c r="K11" i="6" l="1"/>
  <c r="L11" i="6" s="1"/>
  <c r="H13" i="6"/>
  <c r="H12" i="6"/>
  <c r="I13" i="6"/>
  <c r="I12" i="6"/>
  <c r="J12" i="6"/>
  <c r="J13" i="6"/>
  <c r="I28" i="6"/>
  <c r="G20" i="1" s="1"/>
  <c r="J27" i="6"/>
  <c r="J28" i="6" s="1"/>
  <c r="H20" i="1" s="1"/>
  <c r="K12" i="6" l="1"/>
  <c r="K18" i="6" s="1"/>
  <c r="K13" i="6"/>
  <c r="K19" i="6" s="1"/>
  <c r="M11" i="6"/>
  <c r="O11" i="6"/>
  <c r="N11" i="6"/>
  <c r="H11" i="1"/>
  <c r="J11" i="1" s="1"/>
  <c r="K11" i="1" s="1"/>
  <c r="L11" i="1" s="1"/>
  <c r="M11" i="1" s="1"/>
  <c r="N11" i="1" s="1"/>
  <c r="O11" i="1" s="1"/>
  <c r="G11" i="1"/>
  <c r="H7" i="1"/>
  <c r="G7" i="1"/>
  <c r="F7" i="1"/>
  <c r="E7" i="1"/>
  <c r="N13" i="6" l="1"/>
  <c r="M13" i="6"/>
  <c r="L13" i="6"/>
  <c r="O13" i="6"/>
  <c r="M12" i="6"/>
  <c r="L12" i="6"/>
  <c r="O12" i="6"/>
  <c r="N12" i="6"/>
  <c r="E12" i="1"/>
  <c r="H12" i="1"/>
  <c r="G12" i="1"/>
  <c r="F12" i="1"/>
  <c r="I7" i="1"/>
  <c r="G8" i="7" s="1"/>
  <c r="M7" i="3"/>
  <c r="M8" i="3"/>
  <c r="M9" i="3"/>
  <c r="M10" i="3"/>
  <c r="M6" i="3"/>
  <c r="L7" i="3"/>
  <c r="L8" i="3"/>
  <c r="L9" i="3"/>
  <c r="L10" i="3"/>
  <c r="L6" i="3"/>
  <c r="K7" i="3"/>
  <c r="K8" i="3"/>
  <c r="K9" i="3"/>
  <c r="K10" i="3"/>
  <c r="K6" i="3"/>
  <c r="J7" i="3"/>
  <c r="J8" i="3"/>
  <c r="J9" i="3"/>
  <c r="J10" i="3"/>
  <c r="J6" i="3"/>
  <c r="D14" i="1"/>
  <c r="E14" i="1"/>
  <c r="E16" i="1" s="1"/>
  <c r="F14" i="1"/>
  <c r="F16" i="1" s="1"/>
  <c r="G14" i="1"/>
  <c r="G16" i="1" s="1"/>
  <c r="H14" i="1"/>
  <c r="H16" i="1" s="1"/>
  <c r="D16" i="1" l="1"/>
  <c r="G12" i="7" s="1"/>
  <c r="G17" i="2" s="1"/>
  <c r="H31" i="1" s="1"/>
  <c r="I12" i="1"/>
  <c r="J18" i="1" s="1"/>
  <c r="K6" i="6"/>
  <c r="K17" i="6" s="1"/>
  <c r="O20" i="3" l="1"/>
  <c r="G10" i="7"/>
  <c r="K18" i="1"/>
  <c r="L18" i="1" s="1"/>
  <c r="M18" i="1" s="1"/>
  <c r="N18" i="1" s="1"/>
  <c r="O18" i="1" s="1"/>
  <c r="J19" i="1"/>
  <c r="K19" i="1" s="1"/>
  <c r="L19" i="1" s="1"/>
  <c r="M19" i="1" s="1"/>
  <c r="N19" i="1" s="1"/>
  <c r="O19" i="1" s="1"/>
  <c r="K9" i="1"/>
  <c r="L6" i="6"/>
  <c r="L17" i="6" s="1"/>
  <c r="L9" i="1" l="1"/>
  <c r="L7" i="6"/>
  <c r="J14" i="1"/>
  <c r="J15" i="1" s="1"/>
  <c r="K14" i="1"/>
  <c r="K15" i="1" s="1"/>
  <c r="L14" i="1"/>
  <c r="L15" i="1" s="1"/>
  <c r="M14" i="1"/>
  <c r="M15" i="1" s="1"/>
  <c r="M6" i="6"/>
  <c r="M17" i="6" s="1"/>
  <c r="M9" i="1" l="1"/>
  <c r="M7" i="6"/>
  <c r="L19" i="6"/>
  <c r="L27" i="6" s="1"/>
  <c r="L18" i="6"/>
  <c r="O14" i="1"/>
  <c r="O15" i="1" s="1"/>
  <c r="N6" i="6"/>
  <c r="N17" i="6" s="1"/>
  <c r="K27" i="6"/>
  <c r="K26" i="6"/>
  <c r="N9" i="1" l="1"/>
  <c r="N7" i="6"/>
  <c r="L26" i="6"/>
  <c r="M18" i="6"/>
  <c r="M19" i="6"/>
  <c r="M27" i="6" s="1"/>
  <c r="O6" i="6"/>
  <c r="O17" i="6" s="1"/>
  <c r="N14" i="1"/>
  <c r="N15" i="1" s="1"/>
  <c r="K25" i="6"/>
  <c r="K28" i="6" s="1"/>
  <c r="O9" i="1" l="1"/>
  <c r="O7" i="6"/>
  <c r="M26" i="6"/>
  <c r="N18" i="6"/>
  <c r="N19" i="6"/>
  <c r="J20" i="1"/>
  <c r="J24" i="1" s="1"/>
  <c r="O25" i="6"/>
  <c r="N25" i="6"/>
  <c r="M25" i="6"/>
  <c r="M28" i="6" s="1"/>
  <c r="L25" i="6"/>
  <c r="L28" i="6" s="1"/>
  <c r="N27" i="6" l="1"/>
  <c r="N26" i="6"/>
  <c r="O18" i="6"/>
  <c r="O26" i="6" s="1"/>
  <c r="O19" i="6"/>
  <c r="O27" i="6" s="1"/>
  <c r="K20" i="1"/>
  <c r="K24" i="1" s="1"/>
  <c r="L20" i="1"/>
  <c r="L24" i="1" s="1"/>
  <c r="N28" i="6" l="1"/>
  <c r="M20" i="1" s="1"/>
  <c r="M24" i="1" s="1"/>
  <c r="O28" i="6"/>
  <c r="P28" i="6" s="1"/>
  <c r="O20" i="1" s="1"/>
  <c r="O24" i="1" s="1"/>
  <c r="N20" i="1" l="1"/>
  <c r="N24" i="1" s="1"/>
  <c r="K30" i="1"/>
  <c r="K29" i="1"/>
  <c r="N25" i="1" l="1"/>
  <c r="D24" i="1" s="1"/>
  <c r="D27" i="1" s="1"/>
  <c r="D29" i="1" s="1"/>
  <c r="D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C9" authorId="0" shapeId="0" xr:uid="{6D3BB1F4-0415-415E-9600-9F4901711291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Estimated COGS not calculated from percentages of the revenues</t>
        </r>
      </text>
    </comment>
    <comment ref="C10" authorId="0" shapeId="0" xr:uid="{FB46F69F-8FE9-48E1-8D65-8F1EF7870F42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D&amp;A INCLUDED
</t>
        </r>
      </text>
    </comment>
  </commentList>
</comments>
</file>

<file path=xl/sharedStrings.xml><?xml version="1.0" encoding="utf-8"?>
<sst xmlns="http://schemas.openxmlformats.org/spreadsheetml/2006/main" count="105" uniqueCount="94">
  <si>
    <t>REVENUE</t>
  </si>
  <si>
    <t xml:space="preserve">Average </t>
  </si>
  <si>
    <t>COGS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</si>
  <si>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</si>
  <si>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</si>
  <si>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</si>
  <si>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</si>
  <si>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</si>
  <si>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</si>
  <si>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 multiple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</si>
  <si>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</si>
  <si>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</si>
  <si>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</si>
  <si>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</si>
  <si>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</si>
  <si>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</si>
  <si>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</si>
  <si>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</si>
  <si>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</si>
  <si>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</si>
  <si>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</si>
  <si>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</si>
  <si>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</si>
  <si>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</si>
  <si>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</si>
  <si>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</si>
  <si>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</si>
  <si>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</si>
  <si>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</si>
  <si>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</si>
  <si>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</si>
  <si>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</si>
  <si>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</si>
  <si>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</si>
  <si>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</si>
  <si>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</si>
  <si>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</si>
  <si>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</si>
  <si>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</si>
  <si>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</si>
  <si>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CHANGE IN WORKING CAPITAL</t>
  </si>
  <si>
    <t>REVENUE INCREASE</t>
  </si>
  <si>
    <t>INCREASE IN EXPENSES</t>
  </si>
  <si>
    <t>Days in Period</t>
  </si>
  <si>
    <t>Revenue</t>
  </si>
  <si>
    <t>AMOUNTS PER DAY</t>
  </si>
  <si>
    <t>Accounts Receivable</t>
  </si>
  <si>
    <t>(Days)</t>
  </si>
  <si>
    <t>Inventory</t>
  </si>
  <si>
    <t>Accounts Payable</t>
  </si>
  <si>
    <t>TOTAL AMOUNTS</t>
  </si>
  <si>
    <t>CASH CHANGES</t>
  </si>
  <si>
    <t>Cash from Working Capital Items</t>
  </si>
  <si>
    <t>2025 F</t>
  </si>
  <si>
    <t>2026 F</t>
  </si>
  <si>
    <t>2027 F</t>
  </si>
  <si>
    <t>2022 A</t>
  </si>
  <si>
    <t>2023 A</t>
  </si>
  <si>
    <t>MULTIPLE METHOD</t>
  </si>
  <si>
    <t>PERPETUITY METHOD</t>
  </si>
  <si>
    <t xml:space="preserve">TERMINAL GROWTH </t>
  </si>
  <si>
    <t>WEIGHTED TERMINAL VALUE</t>
  </si>
  <si>
    <t>EFFECTIVE TAX RATE FROM EBITDA</t>
  </si>
  <si>
    <t>EBIT (OPERATING INCOME)</t>
  </si>
  <si>
    <t xml:space="preserve">OPERATING EXPENSES </t>
  </si>
  <si>
    <t>WORKING CAPITAL SCHEDULE</t>
  </si>
  <si>
    <t>TERMINAL</t>
  </si>
  <si>
    <t>Average Difference</t>
  </si>
  <si>
    <t>YEARS</t>
  </si>
  <si>
    <t>WEIGHTED AVERAGE COST OF CAPITAL</t>
  </si>
  <si>
    <t>2020A</t>
  </si>
  <si>
    <t>2022A</t>
  </si>
  <si>
    <t>2023A</t>
  </si>
  <si>
    <t>2024A</t>
  </si>
  <si>
    <t>ASSUMPTIONS</t>
  </si>
  <si>
    <t>HISTORICAL REVENUE INCREASE</t>
  </si>
  <si>
    <t>HISTORICAL INCREASE OF EXPENSES</t>
  </si>
  <si>
    <t>Expense Increase Assumption</t>
  </si>
  <si>
    <t>Revenue Increase Assumption</t>
  </si>
  <si>
    <t>Effective Tax Rate from Ebitda</t>
  </si>
  <si>
    <t>EV/EBITDA Multiple Assumption</t>
  </si>
  <si>
    <t>Terminal Growth Rate Assumption</t>
  </si>
  <si>
    <t>2021A</t>
  </si>
  <si>
    <t>TOTAL EXPENSES</t>
  </si>
  <si>
    <t>2024 A</t>
  </si>
  <si>
    <t>2028F</t>
  </si>
  <si>
    <t>2029 F</t>
  </si>
  <si>
    <t>FCFF=EBIT*(1-TAX RATE)+DEPRECİATİON&amp;AMORTİZATİON-NET CAPEX- NET CHANGE IN WORKING CAPITAL</t>
  </si>
  <si>
    <t>PINTEREST VALUATION</t>
  </si>
  <si>
    <t>Cloudflare</t>
  </si>
  <si>
    <t>Roblox</t>
  </si>
  <si>
    <t>Crowdstrike</t>
  </si>
  <si>
    <t>Etsy</t>
  </si>
  <si>
    <t>Pinterest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</si>
</sst>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[$$-409]* #,##0.00_ ;_-[$$-409]* \-#,##0.00\ ;_-[$$-409]* &quot;-&quot;??_ ;_-@_ "/>
    <numFmt numFmtId="165" formatCode="0.0%"/>
    <numFmt numFmtId="166" formatCode="0&quot;A&quot;"/>
    <numFmt numFmtId="167" formatCode="_(#,##0_)_%;\(#,##0\)_%;_(&quot;–&quot;_)_%;_(@_)_%"/>
    <numFmt numFmtId="168" formatCode="_(#,##0_);\(#,##0\);_(&quot;–&quot;_);_(@_)"/>
    <numFmt numFmtId="169" formatCode="#,##0_);\(#,##0\);\-"/>
    <numFmt numFmtId="170" formatCode="0.0"/>
    <numFmt numFmtId="171" formatCode="_-[$$-409]* #,##0.0_ ;_-[$$-409]* \-#,##0.0\ ;_-[$$-409]* &quot;-&quot;??_ ;_-@_ "/>
    <numFmt numFmtId="172" formatCode="_-[$$-409]* #,##0_ ;_-[$$-409]* \-#,##0\ ;_-[$$-409]* &quot;-&quot;??_ ;_-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sz val="10"/>
      <color theme="4" tint="-0.249977111117893"/>
      <name val="Open Sans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16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3"/>
      <color rgb="FF007BB8"/>
      <name val="Calibri"/>
      <family val="2"/>
      <scheme val="minor"/>
    </font>
    <font>
      <b/>
      <i/>
      <sz val="32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007BB8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0" fillId="0" borderId="0" xfId="1" applyNumberFormat="1" applyFont="1"/>
    <xf numFmtId="0" fontId="2" fillId="0" borderId="0" xfId="0" applyFont="1" applyAlignment="1">
      <alignment wrapText="1"/>
    </xf>
    <xf numFmtId="0" fontId="21" fillId="0" borderId="0" xfId="0" applyFont="1"/>
    <xf numFmtId="0" fontId="2" fillId="0" borderId="5" xfId="0" applyFont="1" applyBorder="1"/>
    <xf numFmtId="0" fontId="0" fillId="0" borderId="5" xfId="0" applyBorder="1"/>
    <xf numFmtId="165" fontId="3" fillId="0" borderId="6" xfId="1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10" fontId="3" fillId="0" borderId="10" xfId="1" applyNumberFormat="1" applyFont="1" applyBorder="1" applyAlignment="1">
      <alignment horizontal="center"/>
    </xf>
    <xf numFmtId="0" fontId="2" fillId="0" borderId="11" xfId="0" applyFont="1" applyBorder="1"/>
    <xf numFmtId="0" fontId="21" fillId="0" borderId="5" xfId="0" applyFont="1" applyBorder="1"/>
    <xf numFmtId="0" fontId="0" fillId="0" borderId="15" xfId="0" applyBorder="1"/>
    <xf numFmtId="164" fontId="0" fillId="0" borderId="8" xfId="0" applyNumberFormat="1" applyBorder="1"/>
    <xf numFmtId="0" fontId="0" fillId="0" borderId="13" xfId="0" applyBorder="1"/>
    <xf numFmtId="0" fontId="0" fillId="0" borderId="8" xfId="0" applyBorder="1"/>
    <xf numFmtId="37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/>
    </xf>
    <xf numFmtId="37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4" fontId="9" fillId="0" borderId="0" xfId="0" applyNumberFormat="1" applyFont="1"/>
    <xf numFmtId="167" fontId="6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indent="1"/>
    </xf>
    <xf numFmtId="0" fontId="12" fillId="0" borderId="5" xfId="0" applyFont="1" applyBorder="1"/>
    <xf numFmtId="0" fontId="7" fillId="0" borderId="0" xfId="0" applyFont="1"/>
    <xf numFmtId="169" fontId="11" fillId="0" borderId="0" xfId="0" applyNumberFormat="1" applyFont="1"/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indent="1"/>
    </xf>
    <xf numFmtId="168" fontId="11" fillId="0" borderId="0" xfId="0" applyNumberFormat="1" applyFont="1"/>
    <xf numFmtId="0" fontId="6" fillId="0" borderId="0" xfId="0" applyFont="1" applyAlignment="1">
      <alignment horizontal="center"/>
    </xf>
    <xf numFmtId="40" fontId="11" fillId="0" borderId="0" xfId="0" applyNumberFormat="1" applyFont="1"/>
    <xf numFmtId="38" fontId="11" fillId="0" borderId="0" xfId="0" applyNumberFormat="1" applyFont="1"/>
    <xf numFmtId="169" fontId="14" fillId="0" borderId="0" xfId="0" applyNumberFormat="1" applyFont="1"/>
    <xf numFmtId="164" fontId="1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11" fillId="0" borderId="0" xfId="0" applyNumberFormat="1" applyFont="1"/>
    <xf numFmtId="168" fontId="9" fillId="0" borderId="0" xfId="0" applyNumberFormat="1" applyFont="1"/>
    <xf numFmtId="0" fontId="11" fillId="0" borderId="7" xfId="0" applyFont="1" applyBorder="1" applyAlignment="1">
      <alignment horizontal="left" indent="1"/>
    </xf>
    <xf numFmtId="0" fontId="7" fillId="0" borderId="15" xfId="0" applyFont="1" applyBorder="1"/>
    <xf numFmtId="168" fontId="15" fillId="0" borderId="1" xfId="0" applyNumberFormat="1" applyFont="1" applyBorder="1"/>
    <xf numFmtId="164" fontId="9" fillId="0" borderId="16" xfId="0" applyNumberFormat="1" applyFont="1" applyBorder="1"/>
    <xf numFmtId="164" fontId="9" fillId="0" borderId="15" xfId="0" applyNumberFormat="1" applyFont="1" applyBorder="1" applyAlignment="1">
      <alignment horizontal="right" vertical="center"/>
    </xf>
    <xf numFmtId="0" fontId="23" fillId="0" borderId="5" xfId="0" applyFont="1" applyBorder="1"/>
    <xf numFmtId="0" fontId="23" fillId="0" borderId="7" xfId="0" applyFont="1" applyBorder="1"/>
    <xf numFmtId="0" fontId="20" fillId="3" borderId="17" xfId="0" applyFont="1" applyFill="1" applyBorder="1" applyAlignment="1">
      <alignment horizontal="centerContinuous"/>
    </xf>
    <xf numFmtId="0" fontId="21" fillId="3" borderId="18" xfId="0" applyFont="1" applyFill="1" applyBorder="1" applyAlignment="1">
      <alignment horizontal="centerContinuous"/>
    </xf>
    <xf numFmtId="9" fontId="0" fillId="3" borderId="8" xfId="1" applyFont="1" applyFill="1" applyBorder="1"/>
    <xf numFmtId="0" fontId="0" fillId="3" borderId="13" xfId="0" applyFill="1" applyBorder="1"/>
    <xf numFmtId="0" fontId="2" fillId="3" borderId="3" xfId="0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22" fillId="3" borderId="13" xfId="0" applyFont="1" applyFill="1" applyBorder="1"/>
    <xf numFmtId="0" fontId="22" fillId="3" borderId="4" xfId="0" applyFont="1" applyFill="1" applyBorder="1"/>
    <xf numFmtId="0" fontId="18" fillId="3" borderId="2" xfId="0" applyFont="1" applyFill="1" applyBorder="1" applyAlignment="1">
      <alignment horizontal="center"/>
    </xf>
    <xf numFmtId="9" fontId="19" fillId="3" borderId="2" xfId="0" applyNumberFormat="1" applyFont="1" applyFill="1" applyBorder="1"/>
    <xf numFmtId="9" fontId="21" fillId="0" borderId="6" xfId="1" applyFont="1" applyBorder="1"/>
    <xf numFmtId="9" fontId="25" fillId="0" borderId="6" xfId="1" applyFont="1" applyBorder="1"/>
    <xf numFmtId="170" fontId="25" fillId="0" borderId="6" xfId="1" applyNumberFormat="1" applyFont="1" applyBorder="1"/>
    <xf numFmtId="0" fontId="26" fillId="3" borderId="17" xfId="0" applyFont="1" applyFill="1" applyBorder="1" applyAlignment="1">
      <alignment horizontal="centerContinuous"/>
    </xf>
    <xf numFmtId="0" fontId="0" fillId="3" borderId="19" xfId="0" applyFill="1" applyBorder="1" applyAlignment="1">
      <alignment horizontal="centerContinuous"/>
    </xf>
    <xf numFmtId="0" fontId="0" fillId="3" borderId="18" xfId="0" applyFill="1" applyBorder="1" applyAlignment="1">
      <alignment horizontal="centerContinuous"/>
    </xf>
    <xf numFmtId="10" fontId="0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3" fillId="0" borderId="8" xfId="1" applyFont="1" applyBorder="1" applyAlignment="1">
      <alignment horizontal="center"/>
    </xf>
    <xf numFmtId="0" fontId="2" fillId="3" borderId="3" xfId="0" applyFont="1" applyFill="1" applyBorder="1"/>
    <xf numFmtId="0" fontId="2" fillId="3" borderId="13" xfId="0" applyFont="1" applyFill="1" applyBorder="1"/>
    <xf numFmtId="0" fontId="2" fillId="3" borderId="4" xfId="0" applyFont="1" applyFill="1" applyBorder="1"/>
    <xf numFmtId="0" fontId="0" fillId="3" borderId="4" xfId="0" applyFill="1" applyBorder="1"/>
    <xf numFmtId="0" fontId="2" fillId="3" borderId="7" xfId="0" applyFont="1" applyFill="1" applyBorder="1"/>
    <xf numFmtId="9" fontId="0" fillId="3" borderId="15" xfId="1" applyFont="1" applyFill="1" applyBorder="1"/>
    <xf numFmtId="0" fontId="27" fillId="0" borderId="0" xfId="0" applyFont="1"/>
    <xf numFmtId="0" fontId="27" fillId="0" borderId="3" xfId="0" applyFont="1" applyBorder="1"/>
    <xf numFmtId="0" fontId="27" fillId="3" borderId="13" xfId="0" applyFont="1" applyFill="1" applyBorder="1" applyAlignment="1">
      <alignment horizontal="centerContinuous"/>
    </xf>
    <xf numFmtId="0" fontId="27" fillId="0" borderId="13" xfId="0" applyFont="1" applyBorder="1"/>
    <xf numFmtId="0" fontId="28" fillId="3" borderId="13" xfId="0" applyFont="1" applyFill="1" applyBorder="1" applyAlignment="1">
      <alignment horizontal="centerContinuous"/>
    </xf>
    <xf numFmtId="0" fontId="27" fillId="3" borderId="4" xfId="0" applyFont="1" applyFill="1" applyBorder="1"/>
    <xf numFmtId="0" fontId="27" fillId="2" borderId="14" xfId="0" applyFont="1" applyFill="1" applyBorder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28" fillId="0" borderId="5" xfId="0" applyFont="1" applyBorder="1"/>
    <xf numFmtId="164" fontId="27" fillId="0" borderId="0" xfId="0" applyNumberFormat="1" applyFont="1"/>
    <xf numFmtId="164" fontId="27" fillId="0" borderId="6" xfId="0" applyNumberFormat="1" applyFont="1" applyBorder="1"/>
    <xf numFmtId="9" fontId="30" fillId="0" borderId="5" xfId="1" applyFont="1" applyBorder="1"/>
    <xf numFmtId="9" fontId="27" fillId="0" borderId="0" xfId="1" applyFont="1" applyBorder="1"/>
    <xf numFmtId="9" fontId="28" fillId="0" borderId="0" xfId="1" applyFont="1" applyBorder="1"/>
    <xf numFmtId="0" fontId="27" fillId="0" borderId="6" xfId="0" applyFont="1" applyBorder="1"/>
    <xf numFmtId="0" fontId="27" fillId="0" borderId="5" xfId="0" applyFont="1" applyBorder="1"/>
    <xf numFmtId="164" fontId="31" fillId="0" borderId="0" xfId="0" applyNumberFormat="1" applyFont="1"/>
    <xf numFmtId="0" fontId="31" fillId="0" borderId="0" xfId="0" applyFont="1"/>
    <xf numFmtId="164" fontId="31" fillId="0" borderId="6" xfId="0" applyNumberFormat="1" applyFont="1" applyBorder="1"/>
    <xf numFmtId="0" fontId="30" fillId="0" borderId="5" xfId="0" applyFont="1" applyBorder="1"/>
    <xf numFmtId="0" fontId="30" fillId="0" borderId="7" xfId="0" applyFont="1" applyBorder="1"/>
    <xf numFmtId="164" fontId="29" fillId="0" borderId="15" xfId="0" applyNumberFormat="1" applyFont="1" applyBorder="1"/>
    <xf numFmtId="0" fontId="27" fillId="0" borderId="15" xfId="0" applyFont="1" applyBorder="1"/>
    <xf numFmtId="9" fontId="27" fillId="0" borderId="15" xfId="1" applyFont="1" applyBorder="1"/>
    <xf numFmtId="164" fontId="27" fillId="0" borderId="15" xfId="0" applyNumberFormat="1" applyFont="1" applyBorder="1"/>
    <xf numFmtId="164" fontId="27" fillId="0" borderId="8" xfId="0" applyNumberFormat="1" applyFont="1" applyBorder="1"/>
    <xf numFmtId="0" fontId="28" fillId="0" borderId="3" xfId="0" applyFont="1" applyBorder="1"/>
    <xf numFmtId="164" fontId="27" fillId="3" borderId="4" xfId="0" applyNumberFormat="1" applyFont="1" applyFill="1" applyBorder="1"/>
    <xf numFmtId="0" fontId="27" fillId="3" borderId="13" xfId="0" applyFont="1" applyFill="1" applyBorder="1"/>
    <xf numFmtId="164" fontId="27" fillId="3" borderId="13" xfId="0" applyNumberFormat="1" applyFont="1" applyFill="1" applyBorder="1"/>
    <xf numFmtId="164" fontId="27" fillId="2" borderId="6" xfId="0" applyNumberFormat="1" applyFont="1" applyFill="1" applyBorder="1"/>
    <xf numFmtId="164" fontId="27" fillId="3" borderId="6" xfId="0" applyNumberFormat="1" applyFont="1" applyFill="1" applyBorder="1"/>
    <xf numFmtId="0" fontId="27" fillId="3" borderId="6" xfId="0" applyFont="1" applyFill="1" applyBorder="1"/>
    <xf numFmtId="0" fontId="32" fillId="0" borderId="0" xfId="0" applyFont="1"/>
    <xf numFmtId="2" fontId="27" fillId="0" borderId="0" xfId="0" applyNumberFormat="1" applyFont="1"/>
    <xf numFmtId="0" fontId="27" fillId="2" borderId="20" xfId="0" applyFont="1" applyFill="1" applyBorder="1"/>
    <xf numFmtId="0" fontId="28" fillId="0" borderId="7" xfId="0" applyFont="1" applyBorder="1"/>
    <xf numFmtId="9" fontId="27" fillId="3" borderId="8" xfId="1" applyFont="1" applyFill="1" applyBorder="1"/>
    <xf numFmtId="0" fontId="27" fillId="0" borderId="7" xfId="0" applyFont="1" applyBorder="1"/>
    <xf numFmtId="0" fontId="27" fillId="0" borderId="8" xfId="0" applyFont="1" applyBorder="1"/>
    <xf numFmtId="0" fontId="28" fillId="0" borderId="0" xfId="0" applyFont="1" applyAlignment="1">
      <alignment wrapText="1"/>
    </xf>
    <xf numFmtId="164" fontId="15" fillId="0" borderId="1" xfId="0" applyNumberFormat="1" applyFont="1" applyBorder="1"/>
    <xf numFmtId="168" fontId="11" fillId="2" borderId="0" xfId="0" applyNumberFormat="1" applyFont="1" applyFill="1"/>
    <xf numFmtId="0" fontId="0" fillId="2" borderId="6" xfId="0" applyFill="1" applyBorder="1" applyAlignment="1">
      <alignment horizontal="center"/>
    </xf>
    <xf numFmtId="165" fontId="27" fillId="0" borderId="0" xfId="0" applyNumberFormat="1" applyFont="1"/>
    <xf numFmtId="2" fontId="29" fillId="3" borderId="6" xfId="0" applyNumberFormat="1" applyFont="1" applyFill="1" applyBorder="1" applyAlignment="1">
      <alignment horizontal="center"/>
    </xf>
    <xf numFmtId="164" fontId="3" fillId="0" borderId="0" xfId="0" applyNumberFormat="1" applyFont="1"/>
    <xf numFmtId="164" fontId="3" fillId="0" borderId="15" xfId="0" applyNumberFormat="1" applyFont="1" applyBorder="1"/>
    <xf numFmtId="164" fontId="33" fillId="0" borderId="15" xfId="0" applyNumberFormat="1" applyFont="1" applyBorder="1"/>
    <xf numFmtId="0" fontId="33" fillId="0" borderId="15" xfId="0" applyFont="1" applyBorder="1"/>
    <xf numFmtId="9" fontId="27" fillId="2" borderId="20" xfId="1" applyFont="1" applyFill="1" applyBorder="1"/>
    <xf numFmtId="171" fontId="27" fillId="0" borderId="0" xfId="0" applyNumberFormat="1" applyFont="1"/>
    <xf numFmtId="172" fontId="27" fillId="0" borderId="0" xfId="0" applyNumberFormat="1" applyFont="1"/>
    <xf numFmtId="171" fontId="27" fillId="3" borderId="4" xfId="0" applyNumberFormat="1" applyFont="1" applyFill="1" applyBorder="1"/>
    <xf numFmtId="171" fontId="27" fillId="3" borderId="6" xfId="0" applyNumberFormat="1" applyFont="1" applyFill="1" applyBorder="1"/>
    <xf numFmtId="171" fontId="27" fillId="3" borderId="0" xfId="0" applyNumberFormat="1" applyFont="1" applyFill="1"/>
    <xf numFmtId="0" fontId="27" fillId="0" borderId="5" xfId="0" applyFont="1" applyBorder="1" applyAlignment="1">
      <alignment horizontal="centerContinuous"/>
    </xf>
    <xf numFmtId="0" fontId="27" fillId="0" borderId="0" xfId="0" applyFont="1" applyAlignment="1">
      <alignment horizontal="centerContinuous"/>
    </xf>
    <xf numFmtId="171" fontId="29" fillId="0" borderId="0" xfId="0" applyNumberFormat="1" applyFont="1"/>
    <xf numFmtId="171" fontId="27" fillId="0" borderId="6" xfId="0" applyNumberFormat="1" applyFont="1" applyBorder="1"/>
    <xf numFmtId="9" fontId="0" fillId="0" borderId="12" xfId="1" applyFont="1" applyBorder="1" applyAlignment="1">
      <alignment horizontal="center"/>
    </xf>
    <xf numFmtId="171" fontId="29" fillId="3" borderId="6" xfId="0" applyNumberFormat="1" applyFont="1" applyFill="1" applyBorder="1"/>
    <xf numFmtId="165" fontId="25" fillId="0" borderId="8" xfId="1" applyNumberFormat="1" applyFont="1" applyBorder="1"/>
    <xf numFmtId="165" fontId="32" fillId="0" borderId="0" xfId="0" applyNumberFormat="1" applyFont="1"/>
    <xf numFmtId="164" fontId="5" fillId="2" borderId="20" xfId="0" applyNumberFormat="1" applyFont="1" applyFill="1" applyBorder="1"/>
    <xf numFmtId="172" fontId="27" fillId="2" borderId="15" xfId="0" applyNumberFormat="1" applyFont="1" applyFill="1" applyBorder="1"/>
    <xf numFmtId="0" fontId="24" fillId="3" borderId="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RELATIVE</a:t>
            </a:r>
            <a:r>
              <a:rPr lang="tr-TR" baseline="0"/>
              <a:t> VS INTRINSIC TERMINAL VALUE</a:t>
            </a:r>
          </a:p>
        </c:rich>
      </c:tx>
      <c:layout>
        <c:manualLayout>
          <c:xMode val="edge"/>
          <c:yMode val="edge"/>
          <c:x val="0.186048556430446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FCF!$J$29:$J$30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FCF!$J$29:$J$30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cat>
          <c:val>
            <c:numRef>
              <c:f>FCF!$K$29:$K$30</c:f>
              <c:numCache>
                <c:formatCode>_-[$$-409]* #,##0_ ;_-[$$-409]* \-#,##0\ ;_-[$$-409]* "-"??_ ;_-@_ </c:formatCode>
                <c:ptCount val="2"/>
                <c:pt idx="0">
                  <c:v>43704568.033878274</c:v>
                </c:pt>
                <c:pt idx="1">
                  <c:v>48400882.422953933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B6-98BC-659B775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520184"/>
        <c:axId val="640520544"/>
      </c:barChart>
      <c:catAx>
        <c:axId val="64052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544"/>
        <c:crosses val="autoZero"/>
        <c:auto val="1"/>
        <c:lblAlgn val="ctr"/>
        <c:lblOffset val="100"/>
        <c:noMultiLvlLbl val="0"/>
      </c:catAx>
      <c:valAx>
        <c:axId val="6405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OPERATING</a:t>
            </a:r>
            <a:r>
              <a:rPr lang="tr-TR" baseline="0"/>
              <a:t> </a:t>
            </a:r>
            <a:r>
              <a:rPr lang="tr-TR"/>
              <a:t>INCOME</a:t>
            </a:r>
            <a:r>
              <a:rPr lang="tr-TR" baseline="0"/>
              <a:t>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REVENUE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FCF!$J$5:$N$5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FCF!$J$6:$N$6</c:f>
              <c:numCache>
                <c:formatCode>_-[$$-409]* #,##0.0_ ;_-[$$-409]* \-#,##0.0\ ;_-[$$-409]* "-"??_ ;_-@_ </c:formatCode>
                <c:ptCount val="5"/>
                <c:pt idx="0">
                  <c:v>4051500</c:v>
                </c:pt>
                <c:pt idx="1">
                  <c:v>4497165</c:v>
                </c:pt>
                <c:pt idx="2">
                  <c:v>4991853.1500000004</c:v>
                </c:pt>
                <c:pt idx="3">
                  <c:v>5540956.9965000004</c:v>
                </c:pt>
                <c:pt idx="4">
                  <c:v>6150462.2661150005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2-4D1A-AFCC-1464CB30B0E5}"/>
            </c:ext>
          </c:extLst>
        </c:ser>
        <c:ser>
          <c:idx val="5"/>
          <c:order val="1"/>
          <c:tx>
            <c:v>TOTAL OPERATING EXPENSE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FCF!$J$5:$N$5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FCF!$J$11:$N$11</c:f>
              <c:numCache>
                <c:formatCode>_-[$$-409]* #,##0.0_ ;_-[$$-409]* \-#,##0.0\ ;_-[$$-409]* "-"??_ ;_-@_ </c:formatCode>
                <c:ptCount val="5"/>
                <c:pt idx="0">
                  <c:v>3782692.4000000004</c:v>
                </c:pt>
                <c:pt idx="1">
                  <c:v>4123134.7160000005</c:v>
                </c:pt>
                <c:pt idx="2">
                  <c:v>4123134.7160000005</c:v>
                </c:pt>
                <c:pt idx="3">
                  <c:v>4123134.7160000005</c:v>
                </c:pt>
                <c:pt idx="4">
                  <c:v>4123134.7160000005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2-4D1A-AFCC-1464CB30B0E5}"/>
            </c:ext>
          </c:extLst>
        </c:ser>
        <c:ser>
          <c:idx val="8"/>
          <c:order val="2"/>
          <c:tx>
            <c:v>EBIT (OPERATING INCOME)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FCF!$J$5:$N$5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FCF!$J$14:$N$14</c:f>
              <c:numCache>
                <c:formatCode>_-[$$-409]* #,##0.0_ ;_-[$$-409]* \-#,##0.0\ ;_-[$$-409]* "-"??_ ;_-@_ </c:formatCode>
                <c:ptCount val="5"/>
                <c:pt idx="0">
                  <c:v>268807.59999999963</c:v>
                </c:pt>
                <c:pt idx="1">
                  <c:v>374030.28399999952</c:v>
                </c:pt>
                <c:pt idx="2">
                  <c:v>868718.43399999989</c:v>
                </c:pt>
                <c:pt idx="3">
                  <c:v>1417822.2804999999</c:v>
                </c:pt>
                <c:pt idx="4">
                  <c:v>2027327.550115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2-4D1A-AFCC-1464CB30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796360"/>
        <c:axId val="686792760"/>
      </c:lineChart>
      <c:catAx>
        <c:axId val="6867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2760"/>
        <c:crosses val="autoZero"/>
        <c:auto val="1"/>
        <c:lblAlgn val="ctr"/>
        <c:lblOffset val="100"/>
        <c:noMultiLvlLbl val="0"/>
      </c:catAx>
      <c:valAx>
        <c:axId val="68679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_ ;_-[$$-409]* \-#,##0.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1219040</xdr:colOff>
      <xdr:row>34</xdr:row>
      <xdr:rowOff>5922</xdr:rowOff>
    </xdr:from>
    <xdr:to>
      <xdr:col>9</xdr:col>
      <xdr:colOff>1243853</xdr:colOff>
      <xdr:row>50</xdr:row>
      <xdr:rowOff>60831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F60F-8042-8876-F030-AEBCBB79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1243852</xdr:colOff>
      <xdr:row>33</xdr:row>
      <xdr:rowOff>188099</xdr:rowOff>
    </xdr:from>
    <xdr:to>
      <xdr:col>14</xdr:col>
      <xdr:colOff>1249455</xdr:colOff>
      <xdr:row>49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BD7B7E-CAD2-9F8A-D9C2-93DDB85D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238125</xdr:colOff>
      <xdr:row>40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0" y="0"/>
          <a:ext cx="17916525" cy="762952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Fast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growing company with low debt levels. It also has  low p/e ratio. Started to have positive earnings previous year and the Company does not pay dividend.</a:t>
          </a:r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Does not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have stable income.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Having large share buy-backs.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Also ETSY from the competitors seems like it can be a good investment.</a:t>
          </a:r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Year Established:2008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6"/>
  <sheetViews>
    <sheetView tabSelected="1" zoomScale="70" zoomScaleNormal="70" workbookViewId="0">
      <selection activeCell="K32" sqref="K32"/>
    </sheetView>
  </sheetViews>
  <sheetFormatPr defaultColWidth="18.7109375" defaultRowHeight="15" x14ac:dyDescent="0.25"/>
  <cols>
    <col min="1" max="1" width="17.5703125" customWidth="1"/>
    <col min="2" max="2" width="18.7109375" customWidth="1"/>
    <col min="3" max="3" width="42.5703125" customWidth="1"/>
    <col min="4" max="4" width="20.28515625" bestFit="1" customWidth="1"/>
    <col min="5" max="5" width="20.85546875" bestFit="1" customWidth="1"/>
    <col min="6" max="8" width="19.42578125" bestFit="1" customWidth="1"/>
    <col min="11" max="11" width="18.7109375" customWidth="1"/>
    <col min="14" max="14" width="20.28515625" bestFit="1" customWidth="1"/>
  </cols>
  <sheetData>
    <row r="1" spans="2:16" ht="15.75" thickBot="1" x14ac:dyDescent="0.3"/>
    <row r="2" spans="2:16" ht="42.75" thickBot="1" x14ac:dyDescent="0.7">
      <c r="C2" s="68" t="s">
        <v>88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2:16" ht="15.75" thickBot="1" x14ac:dyDescent="0.3"/>
    <row r="4" spans="2:16" ht="18.75" x14ac:dyDescent="0.3">
      <c r="B4" s="83"/>
      <c r="C4" s="84"/>
      <c r="D4" s="85"/>
      <c r="E4" s="85"/>
      <c r="F4" s="85"/>
      <c r="G4" s="85"/>
      <c r="H4" s="85"/>
      <c r="I4" s="86"/>
      <c r="J4" s="87" t="s">
        <v>68</v>
      </c>
      <c r="K4" s="85"/>
      <c r="L4" s="85"/>
      <c r="M4" s="85"/>
      <c r="N4" s="85"/>
      <c r="O4" s="88"/>
      <c r="P4" s="83"/>
    </row>
    <row r="5" spans="2:16" ht="18.75" x14ac:dyDescent="0.3">
      <c r="B5" s="83"/>
      <c r="C5" s="89"/>
      <c r="D5" s="90" t="s">
        <v>70</v>
      </c>
      <c r="E5" s="90" t="s">
        <v>82</v>
      </c>
      <c r="F5" s="90" t="s">
        <v>71</v>
      </c>
      <c r="G5" s="90" t="s">
        <v>72</v>
      </c>
      <c r="H5" s="90" t="s">
        <v>73</v>
      </c>
      <c r="I5" s="90" t="s">
        <v>1</v>
      </c>
      <c r="J5" s="90">
        <v>2025</v>
      </c>
      <c r="K5" s="90">
        <v>2026</v>
      </c>
      <c r="L5" s="90">
        <v>2027</v>
      </c>
      <c r="M5" s="90">
        <v>2028</v>
      </c>
      <c r="N5" s="90">
        <v>2029</v>
      </c>
      <c r="O5" s="91" t="s">
        <v>66</v>
      </c>
      <c r="P5" s="83"/>
    </row>
    <row r="6" spans="2:16" ht="18.75" x14ac:dyDescent="0.3">
      <c r="B6" s="83"/>
      <c r="C6" s="92" t="s">
        <v>0</v>
      </c>
      <c r="D6" s="142">
        <v>1690000</v>
      </c>
      <c r="E6" s="142">
        <v>2580000</v>
      </c>
      <c r="F6" s="142">
        <v>2800000</v>
      </c>
      <c r="G6" s="142">
        <v>3060000</v>
      </c>
      <c r="H6" s="142">
        <v>3650000</v>
      </c>
      <c r="I6" s="142"/>
      <c r="J6" s="135">
        <f>H6*ASSUMPTIONS!G9+H6</f>
        <v>4051500</v>
      </c>
      <c r="K6" s="135">
        <f>J6+J6*ASSUMPTIONS!$G$9</f>
        <v>4497165</v>
      </c>
      <c r="L6" s="135">
        <f>K6+K6*ASSUMPTIONS!$G$9</f>
        <v>4991853.1500000004</v>
      </c>
      <c r="M6" s="135">
        <f>L6+L6*ASSUMPTIONS!$G$9</f>
        <v>5540956.9965000004</v>
      </c>
      <c r="N6" s="135">
        <f>M6+M6*ASSUMPTIONS!$G$9</f>
        <v>6150462.2661150005</v>
      </c>
      <c r="O6" s="143">
        <f>N6+N6*ASSUMPTIONS!$G$9</f>
        <v>6827013.1153876502</v>
      </c>
      <c r="P6" s="83"/>
    </row>
    <row r="7" spans="2:16" ht="18.75" x14ac:dyDescent="0.3">
      <c r="B7" s="83"/>
      <c r="C7" s="95" t="s">
        <v>41</v>
      </c>
      <c r="D7" s="96"/>
      <c r="E7" s="134">
        <f t="shared" ref="E7:H7" si="0">E6/D6-1</f>
        <v>0.52662721893491127</v>
      </c>
      <c r="F7" s="96">
        <f t="shared" si="0"/>
        <v>8.5271317829457294E-2</v>
      </c>
      <c r="G7" s="96">
        <f t="shared" si="0"/>
        <v>9.2857142857142749E-2</v>
      </c>
      <c r="H7" s="96">
        <f t="shared" si="0"/>
        <v>0.19281045751633985</v>
      </c>
      <c r="I7" s="97">
        <f>AVERAGE(D7:H7)</f>
        <v>0.22439153428446279</v>
      </c>
      <c r="J7" s="96"/>
      <c r="K7" s="96"/>
      <c r="L7" s="96"/>
      <c r="M7" s="96"/>
      <c r="N7" s="96"/>
      <c r="O7" s="98"/>
      <c r="P7" s="83"/>
    </row>
    <row r="8" spans="2:16" ht="18.75" x14ac:dyDescent="0.3">
      <c r="B8" s="83"/>
      <c r="C8" s="99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8"/>
      <c r="P8" s="83"/>
    </row>
    <row r="9" spans="2:16" ht="18.75" x14ac:dyDescent="0.3">
      <c r="B9" s="83"/>
      <c r="C9" s="92" t="s">
        <v>2</v>
      </c>
      <c r="D9" s="142">
        <v>449990</v>
      </c>
      <c r="E9" s="142">
        <v>529320</v>
      </c>
      <c r="F9" s="142">
        <v>675500</v>
      </c>
      <c r="G9" s="142">
        <v>688760</v>
      </c>
      <c r="H9" s="142">
        <v>750360</v>
      </c>
      <c r="I9" s="93"/>
      <c r="J9" s="100">
        <f>H9*(1+I10)</f>
        <v>750360</v>
      </c>
      <c r="K9" s="101">
        <f>J9+J9*$I$12</f>
        <v>881512.68193506601</v>
      </c>
      <c r="L9" s="101">
        <f>K9+K9*$I$12</f>
        <v>1035589.0618001397</v>
      </c>
      <c r="M9" s="101">
        <f>L9+L9*$I$12</f>
        <v>1216595.8889733728</v>
      </c>
      <c r="N9" s="101">
        <f>M9+M9*$I$12</f>
        <v>1429240.2379125934</v>
      </c>
      <c r="O9" s="102">
        <f>N9+N9*$I$12</f>
        <v>1679051.9154163895</v>
      </c>
      <c r="P9" s="83"/>
    </row>
    <row r="10" spans="2:16" ht="18.75" x14ac:dyDescent="0.3">
      <c r="B10" s="83"/>
      <c r="C10" s="92" t="s">
        <v>64</v>
      </c>
      <c r="D10" s="142">
        <v>1390000</v>
      </c>
      <c r="E10" s="142">
        <v>1720000</v>
      </c>
      <c r="F10" s="142">
        <v>2200000</v>
      </c>
      <c r="G10" s="142">
        <v>2370000</v>
      </c>
      <c r="H10" s="142">
        <v>2720000</v>
      </c>
      <c r="I10" s="93"/>
      <c r="J10" s="93"/>
      <c r="K10" s="93"/>
      <c r="L10" s="93"/>
      <c r="M10" s="93"/>
      <c r="N10" s="93"/>
      <c r="O10" s="94"/>
      <c r="P10" s="83"/>
    </row>
    <row r="11" spans="2:16" ht="18.75" x14ac:dyDescent="0.3">
      <c r="B11" s="83"/>
      <c r="C11" s="92" t="s">
        <v>83</v>
      </c>
      <c r="D11" s="135">
        <f t="shared" ref="D11:H11" si="1">SUM(D9:D10)</f>
        <v>1839990</v>
      </c>
      <c r="E11" s="135">
        <f t="shared" si="1"/>
        <v>2249320</v>
      </c>
      <c r="F11" s="135">
        <f t="shared" si="1"/>
        <v>2875500</v>
      </c>
      <c r="G11" s="135">
        <f t="shared" si="1"/>
        <v>3058760</v>
      </c>
      <c r="H11" s="135">
        <f t="shared" si="1"/>
        <v>3470360</v>
      </c>
      <c r="I11" s="93"/>
      <c r="J11" s="135">
        <f>H11*(1+ASSUMPTIONS!G11)</f>
        <v>3782692.4000000004</v>
      </c>
      <c r="K11" s="135">
        <f>J11+J11*ASSUMPTIONS!G11</f>
        <v>4123134.7160000005</v>
      </c>
      <c r="L11" s="135">
        <f>K11+K11*ASSUMPTIONS!H11</f>
        <v>4123134.7160000005</v>
      </c>
      <c r="M11" s="135">
        <f>L11+L11*ASSUMPTIONS!I8</f>
        <v>4123134.7160000005</v>
      </c>
      <c r="N11" s="135">
        <f>M11+M11*ASSUMPTIONS!J8</f>
        <v>4123134.7160000005</v>
      </c>
      <c r="O11" s="143">
        <f>N11+N11*ASSUMPTIONS!K8</f>
        <v>4123134.7160000005</v>
      </c>
      <c r="P11" s="83"/>
    </row>
    <row r="12" spans="2:16" ht="18.75" x14ac:dyDescent="0.3">
      <c r="B12" s="83"/>
      <c r="C12" s="95" t="s">
        <v>42</v>
      </c>
      <c r="D12" s="96"/>
      <c r="E12" s="96">
        <f t="shared" ref="E12" si="2">E11/D11-1</f>
        <v>0.22246316556068235</v>
      </c>
      <c r="F12" s="96">
        <f t="shared" ref="F12" si="3">F11/E11-1</f>
        <v>0.2783863567656002</v>
      </c>
      <c r="G12" s="96">
        <f t="shared" ref="G12" si="4">G11/F11-1</f>
        <v>6.373152495218215E-2</v>
      </c>
      <c r="H12" s="96">
        <f t="shared" ref="H12" si="5">H11/G11-1</f>
        <v>0.13456433325922923</v>
      </c>
      <c r="I12" s="97">
        <f>AVERAGE(D12:H12)</f>
        <v>0.17478634513442348</v>
      </c>
      <c r="J12" s="96"/>
      <c r="K12" s="96"/>
      <c r="L12" s="96"/>
      <c r="M12" s="96"/>
      <c r="N12" s="96"/>
      <c r="O12" s="98"/>
      <c r="P12" s="83"/>
    </row>
    <row r="13" spans="2:16" ht="18.75" x14ac:dyDescent="0.3">
      <c r="B13" s="83"/>
      <c r="C13" s="99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98"/>
      <c r="P13" s="83"/>
    </row>
    <row r="14" spans="2:16" ht="18.75" x14ac:dyDescent="0.3">
      <c r="B14" s="83"/>
      <c r="C14" s="92" t="s">
        <v>63</v>
      </c>
      <c r="D14" s="135">
        <f t="shared" ref="D14:O14" si="6">D6-D11</f>
        <v>-149990</v>
      </c>
      <c r="E14" s="135">
        <f t="shared" si="6"/>
        <v>330680</v>
      </c>
      <c r="F14" s="135">
        <f t="shared" si="6"/>
        <v>-75500</v>
      </c>
      <c r="G14" s="135">
        <f t="shared" si="6"/>
        <v>1240</v>
      </c>
      <c r="H14" s="135">
        <f t="shared" si="6"/>
        <v>179640</v>
      </c>
      <c r="I14" s="93"/>
      <c r="J14" s="135">
        <f t="shared" si="6"/>
        <v>268807.59999999963</v>
      </c>
      <c r="K14" s="135">
        <f t="shared" si="6"/>
        <v>374030.28399999952</v>
      </c>
      <c r="L14" s="135">
        <f t="shared" si="6"/>
        <v>868718.43399999989</v>
      </c>
      <c r="M14" s="135">
        <f t="shared" si="6"/>
        <v>1417822.2804999999</v>
      </c>
      <c r="N14" s="135">
        <f t="shared" si="6"/>
        <v>2027327.550115</v>
      </c>
      <c r="O14" s="143">
        <f t="shared" si="6"/>
        <v>2703878.3993876497</v>
      </c>
      <c r="P14" s="83"/>
    </row>
    <row r="15" spans="2:16" ht="18.75" x14ac:dyDescent="0.3">
      <c r="B15" s="83"/>
      <c r="C15" s="92" t="s">
        <v>4</v>
      </c>
      <c r="D15" s="142">
        <v>1330</v>
      </c>
      <c r="E15" s="142">
        <v>4530</v>
      </c>
      <c r="F15" s="142">
        <v>10100</v>
      </c>
      <c r="G15" s="142">
        <v>19170</v>
      </c>
      <c r="H15" s="142">
        <v>1570000</v>
      </c>
      <c r="I15" s="93"/>
      <c r="J15" s="135">
        <f>J14*ASSUMPTIONS!$G$12</f>
        <v>53761.519999999931</v>
      </c>
      <c r="K15" s="135">
        <f>K14*ASSUMPTIONS!$G$12</f>
        <v>74806.056799999904</v>
      </c>
      <c r="L15" s="135">
        <f>L14*ASSUMPTIONS!$G$12</f>
        <v>173743.6868</v>
      </c>
      <c r="M15" s="135">
        <f>M14*ASSUMPTIONS!$G$12</f>
        <v>283564.45610000001</v>
      </c>
      <c r="N15" s="135">
        <f>N14*ASSUMPTIONS!$G$12</f>
        <v>405465.51002300001</v>
      </c>
      <c r="O15" s="143">
        <f>O14*ASSUMPTIONS!$G$12</f>
        <v>540775.67987752997</v>
      </c>
      <c r="P15" s="83"/>
    </row>
    <row r="16" spans="2:16" ht="18.75" x14ac:dyDescent="0.3">
      <c r="B16" s="83"/>
      <c r="C16" s="103" t="s">
        <v>62</v>
      </c>
      <c r="D16" s="96">
        <f t="shared" ref="D16:H16" si="7">D15/D14</f>
        <v>-8.8672578171878121E-3</v>
      </c>
      <c r="E16" s="96">
        <f t="shared" si="7"/>
        <v>1.3699044393371235E-2</v>
      </c>
      <c r="F16" s="96">
        <f t="shared" si="7"/>
        <v>-0.1337748344370861</v>
      </c>
      <c r="G16" s="96">
        <f t="shared" si="7"/>
        <v>15.459677419354838</v>
      </c>
      <c r="H16" s="96">
        <f t="shared" si="7"/>
        <v>8.7397016254731685</v>
      </c>
      <c r="I16" s="97">
        <v>0.2</v>
      </c>
      <c r="J16" s="135"/>
      <c r="K16" s="135"/>
      <c r="L16" s="135"/>
      <c r="M16" s="135"/>
      <c r="N16" s="135"/>
      <c r="O16" s="143"/>
      <c r="P16" s="83"/>
    </row>
    <row r="17" spans="2:16" ht="18.75" x14ac:dyDescent="0.3">
      <c r="B17" s="83"/>
      <c r="C17" s="99"/>
      <c r="D17" s="83"/>
      <c r="E17" s="83"/>
      <c r="F17" s="83"/>
      <c r="G17" s="83"/>
      <c r="H17" s="83"/>
      <c r="I17" s="83"/>
      <c r="J17" s="135"/>
      <c r="K17" s="135"/>
      <c r="L17" s="135"/>
      <c r="M17" s="135"/>
      <c r="N17" s="135"/>
      <c r="O17" s="143"/>
      <c r="P17" s="83"/>
    </row>
    <row r="18" spans="2:16" ht="18.75" x14ac:dyDescent="0.3">
      <c r="B18" s="83"/>
      <c r="C18" s="92" t="s">
        <v>6</v>
      </c>
      <c r="D18" s="142">
        <v>36990</v>
      </c>
      <c r="E18" s="142">
        <v>27500</v>
      </c>
      <c r="F18" s="142">
        <v>46900</v>
      </c>
      <c r="G18" s="142">
        <v>21510</v>
      </c>
      <c r="H18" s="142">
        <v>21270</v>
      </c>
      <c r="I18" s="96"/>
      <c r="J18" s="135">
        <f>H18*(1+$I$12)</f>
        <v>24987.705561009185</v>
      </c>
      <c r="K18" s="135">
        <f t="shared" ref="K18:O19" si="8">J18*(1+$I$12)</f>
        <v>29355.215289313088</v>
      </c>
      <c r="L18" s="135">
        <f t="shared" si="8"/>
        <v>34486.106080366269</v>
      </c>
      <c r="M18" s="135">
        <f t="shared" si="8"/>
        <v>40513.806520071506</v>
      </c>
      <c r="N18" s="135">
        <f t="shared" si="8"/>
        <v>47595.066689197978</v>
      </c>
      <c r="O18" s="143">
        <f t="shared" si="8"/>
        <v>55914.034442232034</v>
      </c>
      <c r="P18" s="83"/>
    </row>
    <row r="19" spans="2:16" ht="18.75" x14ac:dyDescent="0.3">
      <c r="B19" s="83"/>
      <c r="C19" s="92" t="s">
        <v>7</v>
      </c>
      <c r="D19" s="142">
        <v>17400</v>
      </c>
      <c r="E19" s="142">
        <v>9030</v>
      </c>
      <c r="F19" s="142">
        <v>28980</v>
      </c>
      <c r="G19" s="142">
        <v>8060</v>
      </c>
      <c r="H19" s="142">
        <v>24610</v>
      </c>
      <c r="I19" s="96"/>
      <c r="J19" s="135">
        <f>H19*(1+$I$12)</f>
        <v>28911.491953758159</v>
      </c>
      <c r="K19" s="135">
        <f t="shared" si="8"/>
        <v>33964.82596473884</v>
      </c>
      <c r="L19" s="135">
        <f t="shared" si="8"/>
        <v>39901.413758242306</v>
      </c>
      <c r="M19" s="135">
        <f t="shared" si="8"/>
        <v>46875.636034741874</v>
      </c>
      <c r="N19" s="135">
        <f t="shared" si="8"/>
        <v>55068.857133105877</v>
      </c>
      <c r="O19" s="143">
        <f t="shared" si="8"/>
        <v>64694.141402131172</v>
      </c>
      <c r="P19" s="83"/>
    </row>
    <row r="20" spans="2:16" ht="19.5" thickBot="1" x14ac:dyDescent="0.35">
      <c r="B20" s="83"/>
      <c r="C20" s="104" t="s">
        <v>40</v>
      </c>
      <c r="D20" s="105"/>
      <c r="E20" s="105"/>
      <c r="F20" s="106"/>
      <c r="G20" s="132">
        <f>SCHEDULES!I28</f>
        <v>-90490</v>
      </c>
      <c r="H20" s="132">
        <f>SCHEDULES!J28</f>
        <v>-125270</v>
      </c>
      <c r="I20" s="133"/>
      <c r="J20" s="132">
        <f>SCHEDULES!K28</f>
        <v>-97442.706724790885</v>
      </c>
      <c r="K20" s="107">
        <f>SCHEDULES!L28</f>
        <v>-93965.612901228058</v>
      </c>
      <c r="L20" s="108">
        <f>SCHEDULES!M28</f>
        <v>-103290.9037073978</v>
      </c>
      <c r="M20" s="108">
        <f>SCHEDULES!N28</f>
        <v>-113465.28033436713</v>
      </c>
      <c r="N20" s="108">
        <f>SCHEDULES!O28</f>
        <v>-124551.25814504118</v>
      </c>
      <c r="O20" s="109">
        <f>SCHEDULES!P28</f>
        <v>-124551.25814504118</v>
      </c>
      <c r="P20" s="83"/>
    </row>
    <row r="21" spans="2:16" ht="18.75" x14ac:dyDescent="0.3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2:16" ht="18.75" x14ac:dyDescent="0.3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2:16" ht="19.5" thickBot="1" x14ac:dyDescent="0.35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2:16" ht="18.75" x14ac:dyDescent="0.3">
      <c r="B24" s="83"/>
      <c r="C24" s="110" t="s">
        <v>10</v>
      </c>
      <c r="D24" s="137">
        <f>NPV(H31,J24:M24,N25)</f>
        <v>36460166.506064072</v>
      </c>
      <c r="E24" s="83"/>
      <c r="F24" s="83"/>
      <c r="G24" s="84"/>
      <c r="H24" s="86"/>
      <c r="I24" s="112" t="s">
        <v>8</v>
      </c>
      <c r="J24" s="113">
        <f>J14*(1-I16)+J18-J19-J20</f>
        <v>308565.00033204164</v>
      </c>
      <c r="K24" s="113">
        <f t="shared" ref="K24:N24" si="9">K14*(1-J16)+K18-K19-K20</f>
        <v>463386.28622580186</v>
      </c>
      <c r="L24" s="113">
        <f t="shared" si="9"/>
        <v>966594.03002952167</v>
      </c>
      <c r="M24" s="113">
        <f t="shared" si="9"/>
        <v>1524925.7313196969</v>
      </c>
      <c r="N24" s="113">
        <f t="shared" si="9"/>
        <v>2144405.0178161333</v>
      </c>
      <c r="O24" s="111">
        <f>O14*(1-N16)+O18-O19-O20</f>
        <v>2819649.5505727921</v>
      </c>
      <c r="P24" s="83"/>
    </row>
    <row r="25" spans="2:16" ht="18.75" x14ac:dyDescent="0.3">
      <c r="B25" s="83"/>
      <c r="C25" s="92" t="s">
        <v>11</v>
      </c>
      <c r="D25" s="145">
        <v>2510000</v>
      </c>
      <c r="E25" s="83"/>
      <c r="F25" s="83"/>
      <c r="G25" s="140" t="s">
        <v>87</v>
      </c>
      <c r="H25" s="141"/>
      <c r="I25" s="141"/>
      <c r="J25" s="141"/>
      <c r="K25" s="141"/>
      <c r="L25" s="141"/>
      <c r="M25" s="141"/>
      <c r="N25" s="139">
        <f>N24+K32</f>
        <v>52567587.04962007</v>
      </c>
      <c r="O25" s="114"/>
      <c r="P25" s="83"/>
    </row>
    <row r="26" spans="2:16" ht="18.75" x14ac:dyDescent="0.3">
      <c r="B26" s="83"/>
      <c r="C26" s="92" t="s">
        <v>12</v>
      </c>
      <c r="D26" s="145">
        <v>561000</v>
      </c>
      <c r="E26" s="83"/>
      <c r="F26" s="83"/>
      <c r="G26" s="99"/>
      <c r="H26" s="83"/>
      <c r="I26" s="83"/>
      <c r="J26" s="83"/>
      <c r="K26" s="83"/>
      <c r="L26" s="83"/>
      <c r="M26" s="83"/>
      <c r="N26" s="83"/>
      <c r="O26" s="98"/>
      <c r="P26" s="83"/>
    </row>
    <row r="27" spans="2:16" ht="18.75" x14ac:dyDescent="0.3">
      <c r="B27" s="83"/>
      <c r="C27" s="92" t="s">
        <v>13</v>
      </c>
      <c r="D27" s="138">
        <f>D24+D25-D26</f>
        <v>38409166.506064072</v>
      </c>
      <c r="E27" s="83"/>
      <c r="F27" s="83"/>
      <c r="G27" s="99"/>
      <c r="H27" s="83"/>
      <c r="I27" s="83"/>
      <c r="J27" s="83"/>
      <c r="K27" s="83"/>
      <c r="L27" s="83"/>
      <c r="M27" s="83"/>
      <c r="N27" s="83"/>
      <c r="O27" s="98"/>
      <c r="P27" s="83"/>
    </row>
    <row r="28" spans="2:16" ht="18.75" x14ac:dyDescent="0.3">
      <c r="B28" s="83"/>
      <c r="C28" s="99" t="s">
        <v>14</v>
      </c>
      <c r="D28" s="129">
        <v>698000</v>
      </c>
      <c r="E28" s="83"/>
      <c r="F28" s="83"/>
      <c r="G28" s="99"/>
      <c r="H28" s="83"/>
      <c r="I28" s="83"/>
      <c r="J28" s="83"/>
      <c r="K28" s="83"/>
      <c r="L28" s="83"/>
      <c r="M28" s="83"/>
      <c r="N28" s="83"/>
      <c r="O28" s="98"/>
      <c r="P28" s="83"/>
    </row>
    <row r="29" spans="2:16" ht="18.75" x14ac:dyDescent="0.3">
      <c r="B29" s="83"/>
      <c r="C29" s="92" t="s">
        <v>15</v>
      </c>
      <c r="D29" s="116">
        <f>D27/D28</f>
        <v>55.027459177742223</v>
      </c>
      <c r="E29" s="83"/>
      <c r="F29" s="83"/>
      <c r="G29" s="99" t="s">
        <v>9</v>
      </c>
      <c r="H29" s="117">
        <f>ASSUMPTIONS!G13</f>
        <v>15.5</v>
      </c>
      <c r="I29" s="118"/>
      <c r="J29" s="83" t="s">
        <v>58</v>
      </c>
      <c r="K29" s="136">
        <f>H29*O24</f>
        <v>43704568.033878274</v>
      </c>
      <c r="L29" s="83"/>
      <c r="M29" s="83"/>
      <c r="N29" s="83"/>
      <c r="O29" s="98"/>
      <c r="P29" s="83"/>
    </row>
    <row r="30" spans="2:16" ht="18.75" x14ac:dyDescent="0.3">
      <c r="B30" s="83"/>
      <c r="C30" s="99" t="s">
        <v>25</v>
      </c>
      <c r="D30" s="115">
        <v>35.78</v>
      </c>
      <c r="E30" s="119"/>
      <c r="F30" s="83"/>
      <c r="G30" s="99" t="s">
        <v>60</v>
      </c>
      <c r="H30" s="147">
        <f>ASSUMPTIONS!G14</f>
        <v>3.3000000000000002E-2</v>
      </c>
      <c r="I30" s="83"/>
      <c r="J30" s="83" t="s">
        <v>59</v>
      </c>
      <c r="K30" s="136">
        <f>O24/(H31-H30)</f>
        <v>48400882.422953933</v>
      </c>
      <c r="L30" s="83"/>
      <c r="M30" s="83"/>
      <c r="N30" s="83"/>
      <c r="O30" s="98"/>
      <c r="P30" s="83"/>
    </row>
    <row r="31" spans="2:16" ht="19.5" thickBot="1" x14ac:dyDescent="0.35">
      <c r="B31" s="83"/>
      <c r="C31" s="120" t="s">
        <v>26</v>
      </c>
      <c r="D31" s="121">
        <f>D29/D30-1</f>
        <v>0.53793904912638957</v>
      </c>
      <c r="E31" s="83"/>
      <c r="F31" s="83"/>
      <c r="G31" s="99" t="s">
        <v>21</v>
      </c>
      <c r="H31" s="128">
        <f>WACC!G17</f>
        <v>9.1256160000000003E-2</v>
      </c>
      <c r="I31" s="83"/>
      <c r="J31" s="83"/>
      <c r="K31" s="83"/>
      <c r="L31" s="83"/>
      <c r="M31" s="83"/>
      <c r="N31" s="83"/>
      <c r="O31" s="98"/>
      <c r="P31" s="83"/>
    </row>
    <row r="32" spans="2:16" ht="19.5" thickBot="1" x14ac:dyDescent="0.35">
      <c r="B32" s="83"/>
      <c r="C32" s="83"/>
      <c r="D32" s="83"/>
      <c r="E32" s="83"/>
      <c r="F32" s="83"/>
      <c r="G32" s="122"/>
      <c r="H32" s="106"/>
      <c r="I32" s="106"/>
      <c r="J32" s="106" t="s">
        <v>61</v>
      </c>
      <c r="K32" s="149">
        <f>(K29*60+K30*50)/100</f>
        <v>50423182.031803936</v>
      </c>
      <c r="L32" s="106"/>
      <c r="M32" s="106"/>
      <c r="N32" s="106"/>
      <c r="O32" s="123"/>
      <c r="P32" s="83"/>
    </row>
    <row r="33" spans="2:16" ht="18.75" x14ac:dyDescent="0.3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2:16" ht="18.75" x14ac:dyDescent="0.3">
      <c r="B34" s="83"/>
      <c r="C34" s="83"/>
      <c r="D34" s="124"/>
      <c r="E34" s="124"/>
      <c r="F34" s="124"/>
      <c r="G34" s="124"/>
      <c r="H34" s="83"/>
      <c r="I34" s="83"/>
      <c r="J34" s="124"/>
      <c r="K34" s="124"/>
      <c r="L34" s="124"/>
      <c r="M34" s="124"/>
      <c r="N34" s="83"/>
      <c r="O34" s="83"/>
      <c r="P34" s="83"/>
    </row>
    <row r="35" spans="2:16" ht="18.75" x14ac:dyDescent="0.3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2:16" ht="18.75" x14ac:dyDescent="0.3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</row>
    <row r="37" spans="2:16" ht="18.75" x14ac:dyDescent="0.3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</row>
    <row r="38" spans="2:16" ht="18.75" x14ac:dyDescent="0.3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2:16" ht="18.75" x14ac:dyDescent="0.3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2:16" ht="18.75" x14ac:dyDescent="0.3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2:16" ht="18.75" x14ac:dyDescent="0.3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2:16" ht="18.75" x14ac:dyDescent="0.3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18.75" x14ac:dyDescent="0.3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2:16" ht="18.75" x14ac:dyDescent="0.3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</row>
    <row r="45" spans="2:16" ht="18.75" x14ac:dyDescent="0.3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2:16" ht="18.75" x14ac:dyDescent="0.3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</row>
    <row r="47" spans="2:16" ht="18.75" x14ac:dyDescent="0.3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2:16" ht="18.75" x14ac:dyDescent="0.3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56" spans="4:10" ht="17.25" x14ac:dyDescent="0.3">
      <c r="D56" s="9"/>
    </row>
    <row r="61" spans="4:10" ht="17.25" x14ac:dyDescent="0.3">
      <c r="J61" s="9"/>
    </row>
    <row r="66" spans="4:7" x14ac:dyDescent="0.25">
      <c r="D66" s="8"/>
      <c r="E66" s="8"/>
      <c r="F66" s="5"/>
      <c r="G66" s="8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AC58-C5F9-4FD8-9B55-59F240130EB1}">
  <dimension ref="F6:G14"/>
  <sheetViews>
    <sheetView workbookViewId="0">
      <selection activeCell="I7" sqref="I7"/>
    </sheetView>
  </sheetViews>
  <sheetFormatPr defaultRowHeight="15" x14ac:dyDescent="0.25"/>
  <cols>
    <col min="6" max="6" width="38.28515625" customWidth="1"/>
    <col min="7" max="7" width="10" bestFit="1" customWidth="1"/>
  </cols>
  <sheetData>
    <row r="6" spans="6:7" ht="15.75" thickBot="1" x14ac:dyDescent="0.3"/>
    <row r="7" spans="6:7" ht="18" thickBot="1" x14ac:dyDescent="0.35">
      <c r="F7" s="55" t="s">
        <v>74</v>
      </c>
      <c r="G7" s="56"/>
    </row>
    <row r="8" spans="6:7" ht="17.25" x14ac:dyDescent="0.3">
      <c r="F8" s="19" t="s">
        <v>75</v>
      </c>
      <c r="G8" s="65">
        <f>FCF!I7</f>
        <v>0.22439153428446279</v>
      </c>
    </row>
    <row r="9" spans="6:7" ht="17.25" x14ac:dyDescent="0.3">
      <c r="F9" s="53" t="s">
        <v>78</v>
      </c>
      <c r="G9" s="66">
        <v>0.11</v>
      </c>
    </row>
    <row r="10" spans="6:7" ht="17.25" x14ac:dyDescent="0.3">
      <c r="F10" s="19" t="s">
        <v>76</v>
      </c>
      <c r="G10" s="65">
        <f>FCF!I12</f>
        <v>0.17478634513442348</v>
      </c>
    </row>
    <row r="11" spans="6:7" ht="17.25" x14ac:dyDescent="0.3">
      <c r="F11" s="53" t="s">
        <v>77</v>
      </c>
      <c r="G11" s="66">
        <v>0.09</v>
      </c>
    </row>
    <row r="12" spans="6:7" ht="17.25" x14ac:dyDescent="0.3">
      <c r="F12" s="53" t="s">
        <v>79</v>
      </c>
      <c r="G12" s="65">
        <f>FCF!I16</f>
        <v>0.2</v>
      </c>
    </row>
    <row r="13" spans="6:7" ht="17.25" x14ac:dyDescent="0.3">
      <c r="F13" s="53" t="s">
        <v>80</v>
      </c>
      <c r="G13" s="67">
        <v>15.5</v>
      </c>
    </row>
    <row r="14" spans="6:7" ht="18" thickBot="1" x14ac:dyDescent="0.35">
      <c r="F14" s="54" t="s">
        <v>81</v>
      </c>
      <c r="G14" s="146">
        <v>3.3000000000000002E-2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B4:L19"/>
  <sheetViews>
    <sheetView workbookViewId="0">
      <selection activeCell="G19" sqref="G19"/>
    </sheetView>
  </sheetViews>
  <sheetFormatPr defaultRowHeight="15" x14ac:dyDescent="0.25"/>
  <cols>
    <col min="1" max="1" width="12.140625" bestFit="1" customWidth="1"/>
    <col min="6" max="6" width="27.7109375" customWidth="1"/>
    <col min="7" max="7" width="16" customWidth="1"/>
  </cols>
  <sheetData>
    <row r="4" spans="2:12" x14ac:dyDescent="0.25">
      <c r="B4" s="6"/>
    </row>
    <row r="6" spans="2:12" ht="15.75" thickBot="1" x14ac:dyDescent="0.3"/>
    <row r="7" spans="2:12" x14ac:dyDescent="0.25">
      <c r="F7" s="59" t="s">
        <v>69</v>
      </c>
      <c r="G7" s="60"/>
    </row>
    <row r="8" spans="2:12" x14ac:dyDescent="0.25">
      <c r="F8" s="10" t="s">
        <v>16</v>
      </c>
      <c r="G8" s="71">
        <f>G11+(G10*G9)</f>
        <v>9.7519999999999996E-2</v>
      </c>
    </row>
    <row r="9" spans="2:12" x14ac:dyDescent="0.25">
      <c r="F9" s="11" t="s">
        <v>17</v>
      </c>
      <c r="G9" s="12">
        <v>4.8000000000000001E-2</v>
      </c>
    </row>
    <row r="10" spans="2:12" x14ac:dyDescent="0.25">
      <c r="F10" s="11" t="s">
        <v>18</v>
      </c>
      <c r="G10" s="13">
        <v>1.1399999999999999</v>
      </c>
      <c r="K10" s="6"/>
      <c r="L10" s="4"/>
    </row>
    <row r="11" spans="2:12" x14ac:dyDescent="0.25">
      <c r="E11" s="3"/>
      <c r="F11" s="16" t="s">
        <v>19</v>
      </c>
      <c r="G11" s="17">
        <v>4.2799999999999998E-2</v>
      </c>
      <c r="K11" s="2"/>
    </row>
    <row r="12" spans="2:12" x14ac:dyDescent="0.25">
      <c r="E12" s="3"/>
      <c r="F12" s="11"/>
      <c r="G12" s="72"/>
    </row>
    <row r="13" spans="2:12" x14ac:dyDescent="0.25">
      <c r="E13" s="3"/>
      <c r="F13" s="18" t="s">
        <v>20</v>
      </c>
      <c r="G13" s="144">
        <f>G14*(1-G15)</f>
        <v>5.0720000000000001E-2</v>
      </c>
      <c r="H13" s="2"/>
    </row>
    <row r="14" spans="2:12" x14ac:dyDescent="0.25">
      <c r="F14" s="11" t="s">
        <v>24</v>
      </c>
      <c r="G14" s="12">
        <v>6.3399999999999998E-2</v>
      </c>
    </row>
    <row r="15" spans="2:12" x14ac:dyDescent="0.25">
      <c r="F15" s="16" t="s">
        <v>5</v>
      </c>
      <c r="G15" s="74">
        <v>0.2</v>
      </c>
      <c r="H15" s="3"/>
    </row>
    <row r="16" spans="2:12" x14ac:dyDescent="0.25">
      <c r="D16" s="7"/>
      <c r="F16" s="11"/>
      <c r="G16" s="127"/>
    </row>
    <row r="17" spans="6:7" x14ac:dyDescent="0.25">
      <c r="F17" s="18" t="s">
        <v>21</v>
      </c>
      <c r="G17" s="75">
        <f>(G18*G8)+(G19*G13)*(1-G15)</f>
        <v>9.1256160000000003E-2</v>
      </c>
    </row>
    <row r="18" spans="6:7" x14ac:dyDescent="0.25">
      <c r="F18" s="11" t="s">
        <v>22</v>
      </c>
      <c r="G18" s="73">
        <f>1-G19</f>
        <v>0.89</v>
      </c>
    </row>
    <row r="19" spans="6:7" ht="15.75" thickBot="1" x14ac:dyDescent="0.3">
      <c r="F19" s="15" t="s">
        <v>23</v>
      </c>
      <c r="G19" s="76">
        <v>0.11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AAA-9EB6-4823-9579-2E718701566C}">
  <dimension ref="D2:P28"/>
  <sheetViews>
    <sheetView topLeftCell="A3" workbookViewId="0">
      <selection activeCell="K18" sqref="K18"/>
    </sheetView>
  </sheetViews>
  <sheetFormatPr defaultRowHeight="15" x14ac:dyDescent="0.25"/>
  <cols>
    <col min="4" max="16" width="13.7109375" customWidth="1"/>
    <col min="21" max="21" width="11.7109375" customWidth="1"/>
  </cols>
  <sheetData>
    <row r="2" spans="4:16" ht="15.75" thickBot="1" x14ac:dyDescent="0.3"/>
    <row r="3" spans="4:16" ht="15" customHeight="1" x14ac:dyDescent="0.25">
      <c r="D3" s="150" t="s">
        <v>65</v>
      </c>
      <c r="E3" s="151"/>
      <c r="F3" s="151"/>
      <c r="G3" s="22"/>
      <c r="H3" s="61" t="s">
        <v>56</v>
      </c>
      <c r="I3" s="61" t="s">
        <v>57</v>
      </c>
      <c r="J3" s="61" t="s">
        <v>84</v>
      </c>
      <c r="K3" s="61" t="s">
        <v>53</v>
      </c>
      <c r="L3" s="61" t="s">
        <v>54</v>
      </c>
      <c r="M3" s="61" t="s">
        <v>55</v>
      </c>
      <c r="N3" s="61" t="s">
        <v>85</v>
      </c>
      <c r="O3" s="61" t="s">
        <v>86</v>
      </c>
      <c r="P3" s="62" t="s">
        <v>66</v>
      </c>
    </row>
    <row r="4" spans="4:16" ht="21" x14ac:dyDescent="0.3">
      <c r="D4" s="31"/>
      <c r="E4" s="24"/>
      <c r="F4" s="25"/>
      <c r="G4" s="25"/>
      <c r="H4" s="25"/>
      <c r="I4" s="25"/>
      <c r="J4" s="25"/>
      <c r="K4" s="26"/>
      <c r="L4" s="26"/>
      <c r="M4" s="26"/>
      <c r="N4" s="26"/>
      <c r="O4" s="26"/>
      <c r="P4" s="14"/>
    </row>
    <row r="5" spans="4:16" ht="15.75" x14ac:dyDescent="0.3">
      <c r="D5" s="32" t="s">
        <v>43</v>
      </c>
      <c r="E5" s="27"/>
      <c r="F5" s="28"/>
      <c r="G5" s="29"/>
      <c r="H5" s="50">
        <v>365</v>
      </c>
      <c r="I5" s="50">
        <v>365</v>
      </c>
      <c r="J5" s="50">
        <v>365</v>
      </c>
      <c r="K5" s="50">
        <v>365</v>
      </c>
      <c r="L5" s="50">
        <v>365</v>
      </c>
      <c r="M5" s="50">
        <v>365</v>
      </c>
      <c r="N5" s="50">
        <v>365</v>
      </c>
      <c r="O5" s="50">
        <v>365</v>
      </c>
      <c r="P5" s="14"/>
    </row>
    <row r="6" spans="4:16" ht="15.75" x14ac:dyDescent="0.3">
      <c r="D6" s="32" t="s">
        <v>44</v>
      </c>
      <c r="E6" s="29"/>
      <c r="F6" s="29"/>
      <c r="G6" s="29"/>
      <c r="H6" s="125">
        <f>FCF!F6</f>
        <v>2800000</v>
      </c>
      <c r="I6" s="43">
        <f>FCF!G6</f>
        <v>3060000</v>
      </c>
      <c r="J6" s="43">
        <f>FCF!H6</f>
        <v>3650000</v>
      </c>
      <c r="K6" s="45">
        <f>FCF!J6</f>
        <v>4051500</v>
      </c>
      <c r="L6" s="30">
        <f>FCF!K6</f>
        <v>4497165</v>
      </c>
      <c r="M6" s="30">
        <f>FCF!L6</f>
        <v>4991853.1500000004</v>
      </c>
      <c r="N6" s="30">
        <f>FCF!M6</f>
        <v>5540956.9965000004</v>
      </c>
      <c r="O6" s="30">
        <f>FCF!N6</f>
        <v>6150462.2661150005</v>
      </c>
      <c r="P6" s="14"/>
    </row>
    <row r="7" spans="4:16" ht="15.75" x14ac:dyDescent="0.3">
      <c r="D7" s="32" t="s">
        <v>2</v>
      </c>
      <c r="E7" s="29"/>
      <c r="F7" s="29"/>
      <c r="G7" s="29"/>
      <c r="H7" s="125">
        <f>FCF!F9</f>
        <v>675500</v>
      </c>
      <c r="I7" s="43">
        <f>FCF!G9</f>
        <v>688760</v>
      </c>
      <c r="J7" s="43">
        <f>FCF!H9</f>
        <v>750360</v>
      </c>
      <c r="K7" s="45">
        <f>FCF!J9</f>
        <v>750360</v>
      </c>
      <c r="L7" s="30">
        <f>FCF!K9</f>
        <v>881512.68193506601</v>
      </c>
      <c r="M7" s="30">
        <f>FCF!L9</f>
        <v>1035589.0618001397</v>
      </c>
      <c r="N7" s="30">
        <f>FCF!M9</f>
        <v>1216595.8889733728</v>
      </c>
      <c r="O7" s="51">
        <f>FCF!N9</f>
        <v>1429240.2379125934</v>
      </c>
      <c r="P7" s="14"/>
    </row>
    <row r="8" spans="4:16" ht="16.5" x14ac:dyDescent="0.3">
      <c r="D8" s="33"/>
      <c r="E8" s="34"/>
      <c r="F8" s="29"/>
      <c r="G8" s="29"/>
      <c r="H8" s="29"/>
      <c r="I8" s="29"/>
      <c r="J8" s="29"/>
      <c r="K8" s="35"/>
      <c r="L8" s="35"/>
      <c r="M8" s="35"/>
      <c r="N8" s="35"/>
      <c r="O8" s="35"/>
      <c r="P8" s="14"/>
    </row>
    <row r="9" spans="4:16" ht="16.5" x14ac:dyDescent="0.3">
      <c r="D9" s="33"/>
      <c r="E9" s="34"/>
      <c r="F9" s="29"/>
      <c r="G9" s="29"/>
      <c r="H9" s="29"/>
      <c r="I9" s="29"/>
      <c r="J9" s="29"/>
      <c r="K9" s="35"/>
      <c r="L9" s="35"/>
      <c r="M9" s="35"/>
      <c r="N9" s="35"/>
      <c r="O9" s="35"/>
      <c r="P9" s="14"/>
    </row>
    <row r="10" spans="4:16" ht="15.75" x14ac:dyDescent="0.3">
      <c r="D10" s="36" t="s">
        <v>45</v>
      </c>
      <c r="E10" s="34"/>
      <c r="F10" s="29"/>
      <c r="G10" s="29"/>
      <c r="H10" s="29"/>
      <c r="I10" s="29"/>
      <c r="J10" s="29"/>
      <c r="K10" s="35"/>
      <c r="L10" s="35"/>
      <c r="M10" s="35"/>
      <c r="N10" s="35"/>
      <c r="O10" s="35"/>
      <c r="P10" s="14"/>
    </row>
    <row r="11" spans="4:16" ht="15.75" x14ac:dyDescent="0.3">
      <c r="D11" s="37" t="s">
        <v>46</v>
      </c>
      <c r="E11" s="29"/>
      <c r="F11" s="28" t="s">
        <v>47</v>
      </c>
      <c r="G11" s="28"/>
      <c r="H11" s="38">
        <f>SCHEDULES!H17/SCHEDULES!H6*SCHEDULES!H5</f>
        <v>88.842303571428573</v>
      </c>
      <c r="I11" s="38">
        <f>SCHEDULES!I17/SCHEDULES!I6*SCHEDULES!I5</f>
        <v>91.030522875816999</v>
      </c>
      <c r="J11" s="38">
        <f>SCHEDULES!J17/SCHEDULES!J6*SCHEDULES!J5</f>
        <v>89.34</v>
      </c>
      <c r="K11" s="38">
        <f>AVERAGE(H11:J11)</f>
        <v>89.737608815748516</v>
      </c>
      <c r="L11" s="38">
        <f>$K$11</f>
        <v>89.737608815748516</v>
      </c>
      <c r="M11" s="38">
        <f t="shared" ref="M11:O11" si="0">$K$11</f>
        <v>89.737608815748516</v>
      </c>
      <c r="N11" s="38">
        <f t="shared" si="0"/>
        <v>89.737608815748516</v>
      </c>
      <c r="O11" s="38">
        <f t="shared" si="0"/>
        <v>89.737608815748516</v>
      </c>
      <c r="P11" s="14"/>
    </row>
    <row r="12" spans="4:16" ht="15.75" x14ac:dyDescent="0.3">
      <c r="D12" s="37" t="s">
        <v>48</v>
      </c>
      <c r="E12" s="29"/>
      <c r="F12" s="28" t="s">
        <v>47</v>
      </c>
      <c r="G12" s="28"/>
      <c r="H12" s="38">
        <f>(H18/H7)*H5</f>
        <v>0</v>
      </c>
      <c r="I12" s="38">
        <f t="shared" ref="I12:J12" si="1">(I18/I7)*I5</f>
        <v>0</v>
      </c>
      <c r="J12" s="38">
        <f t="shared" si="1"/>
        <v>0</v>
      </c>
      <c r="K12" s="38">
        <f t="shared" ref="K12:K13" si="2">AVERAGE(H12:J12)</f>
        <v>0</v>
      </c>
      <c r="L12" s="38">
        <f>$K$12</f>
        <v>0</v>
      </c>
      <c r="M12" s="38">
        <f t="shared" ref="M12:O12" si="3">$K$12</f>
        <v>0</v>
      </c>
      <c r="N12" s="38">
        <f t="shared" si="3"/>
        <v>0</v>
      </c>
      <c r="O12" s="38">
        <f t="shared" si="3"/>
        <v>0</v>
      </c>
      <c r="P12" s="14"/>
    </row>
    <row r="13" spans="4:16" ht="15.75" x14ac:dyDescent="0.3">
      <c r="D13" s="37" t="s">
        <v>49</v>
      </c>
      <c r="E13" s="29"/>
      <c r="F13" s="28" t="s">
        <v>47</v>
      </c>
      <c r="G13" s="28"/>
      <c r="H13" s="38">
        <f>(H19/H7)*H5</f>
        <v>47.506735751295338</v>
      </c>
      <c r="I13" s="38">
        <f t="shared" ref="I13:J13" si="4">(I19/I7)*I5</f>
        <v>41.896887159533073</v>
      </c>
      <c r="J13" s="38">
        <f t="shared" si="4"/>
        <v>40.87498000959539</v>
      </c>
      <c r="K13" s="38">
        <f t="shared" si="2"/>
        <v>43.4262009734746</v>
      </c>
      <c r="L13" s="38">
        <f>$K$13</f>
        <v>43.4262009734746</v>
      </c>
      <c r="M13" s="126">
        <f t="shared" ref="M13:O13" si="5">$K$13</f>
        <v>43.4262009734746</v>
      </c>
      <c r="N13" s="38">
        <f t="shared" si="5"/>
        <v>43.4262009734746</v>
      </c>
      <c r="O13" s="38">
        <f t="shared" si="5"/>
        <v>43.4262009734746</v>
      </c>
      <c r="P13" s="14"/>
    </row>
    <row r="14" spans="4:16" ht="16.5" x14ac:dyDescent="0.3">
      <c r="D14" s="33"/>
      <c r="E14" s="29"/>
      <c r="F14" s="39"/>
      <c r="G14" s="39"/>
      <c r="H14" s="40"/>
      <c r="I14" s="41"/>
      <c r="J14" s="41"/>
      <c r="K14" s="42"/>
      <c r="L14" s="42"/>
      <c r="M14" s="42"/>
      <c r="N14" s="42"/>
      <c r="O14" s="42"/>
      <c r="P14" s="14"/>
    </row>
    <row r="15" spans="4:16" ht="16.5" x14ac:dyDescent="0.3">
      <c r="D15" s="33"/>
      <c r="E15" s="29"/>
      <c r="F15" s="39"/>
      <c r="G15" s="39"/>
      <c r="H15" s="40"/>
      <c r="I15" s="41"/>
      <c r="J15" s="41"/>
      <c r="K15" s="42"/>
      <c r="L15" s="42"/>
      <c r="M15" s="42"/>
      <c r="N15" s="42"/>
      <c r="O15" s="42"/>
      <c r="P15" s="14"/>
    </row>
    <row r="16" spans="4:16" ht="15.75" x14ac:dyDescent="0.3">
      <c r="D16" s="36" t="s">
        <v>50</v>
      </c>
      <c r="E16" s="34"/>
      <c r="F16" s="29"/>
      <c r="G16" s="29"/>
      <c r="H16" s="29"/>
      <c r="I16" s="29"/>
      <c r="J16" s="29"/>
      <c r="K16" s="35"/>
      <c r="L16" s="35"/>
      <c r="M16" s="35"/>
      <c r="N16" s="35"/>
      <c r="O16" s="35"/>
      <c r="P16" s="14"/>
    </row>
    <row r="17" spans="4:16" ht="15.75" x14ac:dyDescent="0.3">
      <c r="D17" s="37" t="s">
        <v>46</v>
      </c>
      <c r="E17" s="29"/>
      <c r="F17" s="29"/>
      <c r="G17" s="43"/>
      <c r="H17" s="43">
        <v>681530</v>
      </c>
      <c r="I17" s="43">
        <v>763160</v>
      </c>
      <c r="J17" s="43">
        <v>893400</v>
      </c>
      <c r="K17" s="44">
        <f>(K11/K5)*K6</f>
        <v>996087.45785480842</v>
      </c>
      <c r="L17" s="45">
        <f t="shared" ref="L17:O17" si="6">(L11/L5)*L6</f>
        <v>1105657.0782188375</v>
      </c>
      <c r="M17" s="45">
        <f t="shared" si="6"/>
        <v>1227279.3568229096</v>
      </c>
      <c r="N17" s="45">
        <f t="shared" si="6"/>
        <v>1362280.0860734296</v>
      </c>
      <c r="O17" s="45">
        <f t="shared" si="6"/>
        <v>1512130.8955415071</v>
      </c>
      <c r="P17" s="14"/>
    </row>
    <row r="18" spans="4:16" ht="15.75" x14ac:dyDescent="0.3">
      <c r="D18" s="37" t="s">
        <v>48</v>
      </c>
      <c r="E18" s="29"/>
      <c r="F18" s="29"/>
      <c r="G18" s="43"/>
      <c r="H18" s="43">
        <v>0</v>
      </c>
      <c r="I18" s="43">
        <v>0</v>
      </c>
      <c r="J18" s="43">
        <v>0</v>
      </c>
      <c r="K18" s="148">
        <f>(K12/K5)*K7</f>
        <v>0</v>
      </c>
      <c r="L18" s="45">
        <f t="shared" ref="L18:O18" si="7">(L12/L5)*L7</f>
        <v>0</v>
      </c>
      <c r="M18" s="45">
        <f t="shared" si="7"/>
        <v>0</v>
      </c>
      <c r="N18" s="45">
        <f t="shared" si="7"/>
        <v>0</v>
      </c>
      <c r="O18" s="45">
        <f t="shared" si="7"/>
        <v>0</v>
      </c>
      <c r="P18" s="14"/>
    </row>
    <row r="19" spans="4:16" ht="15.75" x14ac:dyDescent="0.3">
      <c r="D19" s="37" t="s">
        <v>49</v>
      </c>
      <c r="E19" s="29"/>
      <c r="F19" s="29"/>
      <c r="G19" s="43"/>
      <c r="H19" s="43">
        <v>87920</v>
      </c>
      <c r="I19" s="43">
        <v>79060</v>
      </c>
      <c r="J19" s="43">
        <v>84030</v>
      </c>
      <c r="K19" s="44">
        <f>(K13/K5)*K7</f>
        <v>89274.751130017539</v>
      </c>
      <c r="L19" s="45">
        <f t="shared" ref="L19:O19" si="8">(L13/L5)*L7</f>
        <v>104878.75859281856</v>
      </c>
      <c r="M19" s="45">
        <f t="shared" si="8"/>
        <v>123210.13348949281</v>
      </c>
      <c r="N19" s="45">
        <f t="shared" si="8"/>
        <v>144745.58240564569</v>
      </c>
      <c r="O19" s="45">
        <f t="shared" si="8"/>
        <v>170045.13372868201</v>
      </c>
      <c r="P19" s="14"/>
    </row>
    <row r="20" spans="4:16" ht="16.5" x14ac:dyDescent="0.3">
      <c r="D20" s="33"/>
      <c r="E20" s="34"/>
      <c r="F20" s="29"/>
      <c r="G20" s="29"/>
      <c r="H20" s="29"/>
      <c r="I20" s="29"/>
      <c r="J20" s="29"/>
      <c r="K20" s="35"/>
      <c r="L20" s="35"/>
      <c r="M20" s="35"/>
      <c r="N20" s="35"/>
      <c r="O20" s="35"/>
      <c r="P20" s="14"/>
    </row>
    <row r="21" spans="4:16" ht="16.5" x14ac:dyDescent="0.3">
      <c r="D21" s="33"/>
      <c r="E21" s="34"/>
      <c r="F21" s="29"/>
      <c r="G21" s="29"/>
      <c r="H21" s="29"/>
      <c r="I21" s="29"/>
      <c r="J21" s="29"/>
      <c r="K21" s="35"/>
      <c r="L21" s="35"/>
      <c r="M21" s="35"/>
      <c r="N21" s="35"/>
      <c r="O21" s="35"/>
      <c r="P21" s="14"/>
    </row>
    <row r="22" spans="4:16" ht="16.5" x14ac:dyDescent="0.3">
      <c r="D22" s="33"/>
      <c r="E22" s="34"/>
      <c r="F22" s="29"/>
      <c r="G22" s="29"/>
      <c r="H22" s="29"/>
      <c r="I22" s="29"/>
      <c r="J22" s="29"/>
      <c r="K22" s="35"/>
      <c r="L22" s="35"/>
      <c r="M22" s="35"/>
      <c r="N22" s="35"/>
      <c r="O22" s="35"/>
      <c r="P22" s="14"/>
    </row>
    <row r="23" spans="4:16" ht="16.5" x14ac:dyDescent="0.3">
      <c r="D23" s="33"/>
      <c r="E23" s="34"/>
      <c r="F23" s="29"/>
      <c r="G23" s="29"/>
      <c r="H23" s="29"/>
      <c r="I23" s="29"/>
      <c r="J23" s="29"/>
      <c r="K23" s="35"/>
      <c r="L23" s="35"/>
      <c r="M23" s="35"/>
      <c r="N23" s="35"/>
      <c r="O23" s="35"/>
      <c r="P23" s="14"/>
    </row>
    <row r="24" spans="4:16" ht="15.75" x14ac:dyDescent="0.3">
      <c r="D24" s="36" t="s">
        <v>51</v>
      </c>
      <c r="E24" s="34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14"/>
    </row>
    <row r="25" spans="4:16" ht="15.75" x14ac:dyDescent="0.3">
      <c r="D25" s="37" t="s">
        <v>46</v>
      </c>
      <c r="E25" s="29"/>
      <c r="F25" s="29"/>
      <c r="G25" s="29"/>
      <c r="H25" s="47"/>
      <c r="I25" s="30">
        <f t="shared" ref="I25:O26" si="9">H17-I17</f>
        <v>-81630</v>
      </c>
      <c r="J25" s="30">
        <f t="shared" si="9"/>
        <v>-130240</v>
      </c>
      <c r="K25" s="30">
        <f t="shared" si="9"/>
        <v>-102687.45785480842</v>
      </c>
      <c r="L25" s="30">
        <f t="shared" si="9"/>
        <v>-109569.62036402908</v>
      </c>
      <c r="M25" s="30">
        <f t="shared" si="9"/>
        <v>-121622.27860407205</v>
      </c>
      <c r="N25" s="30">
        <f t="shared" si="9"/>
        <v>-135000.72925052</v>
      </c>
      <c r="O25" s="30">
        <f t="shared" si="9"/>
        <v>-149850.8094680775</v>
      </c>
      <c r="P25" s="14"/>
    </row>
    <row r="26" spans="4:16" ht="15.75" x14ac:dyDescent="0.3">
      <c r="D26" s="37" t="s">
        <v>48</v>
      </c>
      <c r="E26" s="29"/>
      <c r="F26" s="29"/>
      <c r="G26" s="29"/>
      <c r="H26" s="47"/>
      <c r="I26" s="30">
        <f t="shared" si="9"/>
        <v>0</v>
      </c>
      <c r="J26" s="30">
        <f t="shared" si="9"/>
        <v>0</v>
      </c>
      <c r="K26" s="30">
        <f>J18-K18</f>
        <v>0</v>
      </c>
      <c r="L26" s="30">
        <f>K18-L18</f>
        <v>0</v>
      </c>
      <c r="M26" s="30">
        <f>L18-M18</f>
        <v>0</v>
      </c>
      <c r="N26" s="30">
        <f>M18-N18</f>
        <v>0</v>
      </c>
      <c r="O26" s="30">
        <f t="shared" si="9"/>
        <v>0</v>
      </c>
      <c r="P26" s="14"/>
    </row>
    <row r="27" spans="4:16" ht="15.75" x14ac:dyDescent="0.3">
      <c r="D27" s="37" t="s">
        <v>49</v>
      </c>
      <c r="E27" s="29"/>
      <c r="F27" s="29"/>
      <c r="G27" s="29"/>
      <c r="H27" s="47"/>
      <c r="I27" s="30">
        <f>I19-H19</f>
        <v>-8860</v>
      </c>
      <c r="J27" s="30">
        <f t="shared" ref="J27:O27" si="10">J19-I19</f>
        <v>4970</v>
      </c>
      <c r="K27" s="30">
        <f t="shared" si="10"/>
        <v>5244.7511300175393</v>
      </c>
      <c r="L27" s="30">
        <f t="shared" si="10"/>
        <v>15604.007462801019</v>
      </c>
      <c r="M27" s="30">
        <f t="shared" si="10"/>
        <v>18331.374896674257</v>
      </c>
      <c r="N27" s="30">
        <f t="shared" si="10"/>
        <v>21535.448916152876</v>
      </c>
      <c r="O27" s="30">
        <f t="shared" si="10"/>
        <v>25299.551323036314</v>
      </c>
      <c r="P27" s="14"/>
    </row>
    <row r="28" spans="4:16" ht="16.5" thickBot="1" x14ac:dyDescent="0.35">
      <c r="D28" s="48" t="s">
        <v>52</v>
      </c>
      <c r="E28" s="49"/>
      <c r="F28" s="49"/>
      <c r="G28" s="49"/>
      <c r="H28" s="49"/>
      <c r="I28" s="52">
        <f>SUM(I25:I27)</f>
        <v>-90490</v>
      </c>
      <c r="J28" s="52">
        <f t="shared" ref="J28:O28" si="11">SUM(J25:J27)</f>
        <v>-125270</v>
      </c>
      <c r="K28" s="52">
        <f t="shared" si="11"/>
        <v>-97442.706724790885</v>
      </c>
      <c r="L28" s="52">
        <f t="shared" si="11"/>
        <v>-93965.612901228058</v>
      </c>
      <c r="M28" s="52">
        <f t="shared" si="11"/>
        <v>-103290.9037073978</v>
      </c>
      <c r="N28" s="52">
        <f t="shared" si="11"/>
        <v>-113465.28033436713</v>
      </c>
      <c r="O28" s="52">
        <f t="shared" si="11"/>
        <v>-124551.25814504118</v>
      </c>
      <c r="P28" s="21">
        <f>O28</f>
        <v>-124551.25814504118</v>
      </c>
    </row>
  </sheetData>
  <mergeCells count="1">
    <mergeCell ref="D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B4:O20"/>
  <sheetViews>
    <sheetView topLeftCell="A4" workbookViewId="0">
      <selection activeCell="J9" sqref="J9"/>
    </sheetView>
  </sheetViews>
  <sheetFormatPr defaultColWidth="15.7109375" defaultRowHeight="15" x14ac:dyDescent="0.25"/>
  <cols>
    <col min="1" max="1" width="20.7109375" customWidth="1"/>
    <col min="14" max="14" width="18.7109375" customWidth="1"/>
    <col min="15" max="15" width="17.7109375" customWidth="1"/>
  </cols>
  <sheetData>
    <row r="4" spans="2:13" ht="15.75" thickBot="1" x14ac:dyDescent="0.3"/>
    <row r="5" spans="2:13" x14ac:dyDescent="0.25">
      <c r="B5" s="77" t="s">
        <v>27</v>
      </c>
      <c r="C5" s="78" t="s">
        <v>29</v>
      </c>
      <c r="D5" s="78" t="s">
        <v>28</v>
      </c>
      <c r="E5" s="78" t="s">
        <v>32</v>
      </c>
      <c r="F5" s="78" t="s">
        <v>33</v>
      </c>
      <c r="G5" s="78" t="s">
        <v>34</v>
      </c>
      <c r="H5" s="78" t="s">
        <v>3</v>
      </c>
      <c r="I5" s="78" t="s">
        <v>35</v>
      </c>
      <c r="J5" s="78" t="s">
        <v>36</v>
      </c>
      <c r="K5" s="78" t="s">
        <v>37</v>
      </c>
      <c r="L5" s="78" t="s">
        <v>38</v>
      </c>
      <c r="M5" s="79" t="s">
        <v>39</v>
      </c>
    </row>
    <row r="6" spans="2:13" x14ac:dyDescent="0.25">
      <c r="B6" s="11" t="s">
        <v>89</v>
      </c>
      <c r="C6" s="130">
        <v>131.02000000000001</v>
      </c>
      <c r="D6" s="130">
        <v>45210000</v>
      </c>
      <c r="E6" s="130">
        <f>D6-1860000+2250000</f>
        <v>45600000</v>
      </c>
      <c r="F6" s="130">
        <v>1670000</v>
      </c>
      <c r="G6" s="130">
        <v>48000</v>
      </c>
      <c r="H6" s="130">
        <v>-154060</v>
      </c>
      <c r="I6" s="130">
        <v>-78800</v>
      </c>
      <c r="J6">
        <f>E6/F6</f>
        <v>27.305389221556887</v>
      </c>
      <c r="K6">
        <f>E6/G6</f>
        <v>950</v>
      </c>
      <c r="L6">
        <f>E6/H6</f>
        <v>-295.98857587952745</v>
      </c>
      <c r="M6" s="14">
        <f>D6/I6</f>
        <v>-573.73096446700504</v>
      </c>
    </row>
    <row r="7" spans="2:13" x14ac:dyDescent="0.25">
      <c r="B7" s="11" t="s">
        <v>90</v>
      </c>
      <c r="C7" s="130">
        <v>58.57</v>
      </c>
      <c r="D7" s="130">
        <v>39080000</v>
      </c>
      <c r="E7" s="130">
        <f>D7-2410000+6970000</f>
        <v>43640000</v>
      </c>
      <c r="F7" s="130">
        <v>3600000</v>
      </c>
      <c r="G7" s="130">
        <v>-836880</v>
      </c>
      <c r="H7" s="130">
        <v>-1006000</v>
      </c>
      <c r="I7" s="130">
        <v>-935380</v>
      </c>
      <c r="J7">
        <f t="shared" ref="J7:J10" si="0">E7/F7</f>
        <v>12.122222222222222</v>
      </c>
      <c r="K7">
        <f t="shared" ref="K7:K10" si="1">E7/G7</f>
        <v>-52.146066341649934</v>
      </c>
      <c r="L7">
        <f t="shared" ref="L7:L10" si="2">E7/H7</f>
        <v>-43.379721669980121</v>
      </c>
      <c r="M7" s="14">
        <f t="shared" ref="M7:M10" si="3">D7/I7</f>
        <v>-41.779811413543158</v>
      </c>
    </row>
    <row r="8" spans="2:13" x14ac:dyDescent="0.25">
      <c r="B8" s="11" t="s">
        <v>91</v>
      </c>
      <c r="C8" s="130">
        <v>347.73</v>
      </c>
      <c r="D8" s="130">
        <v>85650000</v>
      </c>
      <c r="E8" s="130">
        <f>D8-4320000+5380000</f>
        <v>86710000</v>
      </c>
      <c r="F8" s="130">
        <v>3950000</v>
      </c>
      <c r="G8" s="130">
        <v>119010</v>
      </c>
      <c r="H8" s="130">
        <v>-94950</v>
      </c>
      <c r="I8" s="130">
        <v>-19270</v>
      </c>
      <c r="J8">
        <f t="shared" si="0"/>
        <v>21.951898734177217</v>
      </c>
      <c r="K8">
        <f t="shared" si="1"/>
        <v>728.594235778506</v>
      </c>
      <c r="L8">
        <f t="shared" si="2"/>
        <v>-913.21748288572928</v>
      </c>
      <c r="M8" s="14">
        <f t="shared" si="3"/>
        <v>-4444.7327451997926</v>
      </c>
    </row>
    <row r="9" spans="2:13" x14ac:dyDescent="0.25">
      <c r="B9" s="11" t="s">
        <v>92</v>
      </c>
      <c r="C9" s="130">
        <v>46.95</v>
      </c>
      <c r="D9" s="130">
        <v>5030000</v>
      </c>
      <c r="E9" s="130">
        <f>D9-1040000+3180000</f>
        <v>7170000</v>
      </c>
      <c r="F9" s="130">
        <v>2810000</v>
      </c>
      <c r="G9" s="130">
        <v>515920</v>
      </c>
      <c r="H9" s="130">
        <v>407000</v>
      </c>
      <c r="I9" s="130">
        <v>303280</v>
      </c>
      <c r="J9">
        <f t="shared" si="0"/>
        <v>2.5516014234875444</v>
      </c>
      <c r="K9">
        <f t="shared" si="1"/>
        <v>13.89750348891301</v>
      </c>
      <c r="L9">
        <f t="shared" si="2"/>
        <v>17.616707616707618</v>
      </c>
      <c r="M9" s="14">
        <f t="shared" si="3"/>
        <v>16.585333685043523</v>
      </c>
    </row>
    <row r="10" spans="2:13" ht="15.75" thickBot="1" x14ac:dyDescent="0.3">
      <c r="B10" s="15" t="s">
        <v>93</v>
      </c>
      <c r="C10" s="131">
        <v>34.51</v>
      </c>
      <c r="D10" s="131">
        <v>23410000</v>
      </c>
      <c r="E10" s="131">
        <f>D10-2510000+591510</f>
        <v>21491510</v>
      </c>
      <c r="F10" s="131">
        <v>3650000</v>
      </c>
      <c r="G10" s="131">
        <v>201080</v>
      </c>
      <c r="H10" s="131">
        <v>179820</v>
      </c>
      <c r="I10" s="131">
        <v>1860000</v>
      </c>
      <c r="J10" s="20">
        <f t="shared" si="0"/>
        <v>5.8880849315068495</v>
      </c>
      <c r="K10" s="20">
        <f t="shared" si="1"/>
        <v>106.88039586234335</v>
      </c>
      <c r="L10" s="20">
        <f t="shared" si="2"/>
        <v>119.51679457235012</v>
      </c>
      <c r="M10" s="23">
        <f t="shared" si="3"/>
        <v>12.586021505376344</v>
      </c>
    </row>
    <row r="11" spans="2:13" x14ac:dyDescent="0.25">
      <c r="C11" s="1"/>
      <c r="D11" s="1"/>
      <c r="E11" s="1"/>
      <c r="F11" s="1"/>
      <c r="G11" s="1"/>
      <c r="H11" s="1"/>
      <c r="I11" s="1"/>
    </row>
    <row r="12" spans="2:13" x14ac:dyDescent="0.25">
      <c r="C12" s="1"/>
      <c r="D12" s="1"/>
      <c r="E12" s="1"/>
      <c r="F12" s="1"/>
      <c r="G12" s="1"/>
      <c r="H12" s="1"/>
      <c r="I12" s="1"/>
    </row>
    <row r="13" spans="2:13" x14ac:dyDescent="0.25">
      <c r="C13" s="1"/>
      <c r="D13" s="1"/>
      <c r="E13" s="1"/>
      <c r="F13" s="1"/>
      <c r="G13" s="1"/>
      <c r="H13" s="1"/>
      <c r="I13" s="1"/>
    </row>
    <row r="14" spans="2:13" x14ac:dyDescent="0.25">
      <c r="C14" s="1"/>
      <c r="D14" s="1"/>
      <c r="E14" s="1"/>
      <c r="F14" s="1"/>
      <c r="G14" s="1"/>
      <c r="H14" s="1"/>
      <c r="I14" s="1"/>
    </row>
    <row r="18" spans="2:15" ht="15.75" thickBot="1" x14ac:dyDescent="0.3"/>
    <row r="19" spans="2:15" ht="15.75" thickBot="1" x14ac:dyDescent="0.3">
      <c r="B19" s="77" t="s">
        <v>30</v>
      </c>
      <c r="C19" s="22"/>
      <c r="D19" s="22"/>
      <c r="E19" s="22"/>
      <c r="F19" s="22"/>
      <c r="G19" s="22"/>
      <c r="H19" s="22"/>
      <c r="I19" s="22"/>
      <c r="J19" s="58">
        <f>AVERAGE(J6:J9)</f>
        <v>15.982777900360967</v>
      </c>
      <c r="K19" s="58">
        <f>AVERAGE(K7:K9)</f>
        <v>230.11522430858972</v>
      </c>
      <c r="L19" s="58">
        <f>AVERAGE(L9:L10)</f>
        <v>68.566751094528868</v>
      </c>
      <c r="M19" s="80">
        <f>AVERAGE(M9)</f>
        <v>16.585333685043523</v>
      </c>
      <c r="O19" s="63" t="s">
        <v>67</v>
      </c>
    </row>
    <row r="20" spans="2:15" ht="15.75" thickBot="1" x14ac:dyDescent="0.3">
      <c r="B20" s="81" t="s">
        <v>31</v>
      </c>
      <c r="C20" s="20"/>
      <c r="D20" s="20"/>
      <c r="E20" s="20"/>
      <c r="F20" s="20"/>
      <c r="G20" s="20"/>
      <c r="H20" s="20"/>
      <c r="I20" s="20"/>
      <c r="J20" s="82">
        <f>(J19/J10)</f>
        <v>2.7144272010816142</v>
      </c>
      <c r="K20" s="82">
        <f t="shared" ref="K20:M20" si="4">(K19/K10)</f>
        <v>2.153016205188524</v>
      </c>
      <c r="L20" s="82">
        <f t="shared" si="4"/>
        <v>0.57369971592587876</v>
      </c>
      <c r="M20" s="57">
        <f t="shared" si="4"/>
        <v>1.3177582509261407</v>
      </c>
      <c r="O20" s="64">
        <f>AVERAGE(J20:M20)</f>
        <v>1.6897253432805395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FCF</vt:lpstr>
      <vt:lpstr>ASSUMPTIONS</vt:lpstr>
      <vt:lpstr>WACC</vt:lpstr>
      <vt:lpstr>SCHEDULES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2025-03-07T13:49:39Z</dcterms:modified>
</cp:coreProperties>
</file>