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e6237f9b02a2a353/Masaüstü/DOSYALARIM/Hisse ve Şirket değerleme/"/>
    </mc:Choice>
  </mc:AlternateContent>
  <xr:revisionPtr revIDLastSave="47" documentId="8_{C4FB1331-DC0E-4349-8E17-AC50C0DCD15D}" xr6:coauthVersionLast="47" xr6:coauthVersionMax="47" xr10:uidLastSave="{DCDF2194-9AD7-4546-BFED-A2348E839B37}"/>
  <bookViews>
    <workbookView xWindow="-120" yWindow="-120" windowWidth="29040" windowHeight="15720" xr2:uid="{00000000-000D-0000-FFFF-FFFF00000000}"/>
  </bookViews>
  <sheets>
    <sheet name="FCF" sheetId="1" r:id="rId1"/>
    <sheet name="ASSUMPTIONS" sheetId="7" r:id="rId2"/>
    <sheet name="WACC" sheetId="2" r:id="rId3"/>
    <sheet name="SCHEDULES" sheetId="6" r:id="rId4"/>
    <sheet name="CCA" sheetId="3" r:id="rId5"/>
    <sheet name="ABOUT" sheetId="4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M18" i="3"/>
  <c r="M19" i="3" s="1"/>
  <c r="L18" i="3"/>
  <c r="L19" i="3" s="1"/>
  <c r="K18" i="3"/>
  <c r="J18" i="3"/>
  <c r="J19" i="3"/>
  <c r="K19" i="3"/>
  <c r="E8" i="3" l="1"/>
  <c r="E7" i="3"/>
  <c r="E6" i="3"/>
  <c r="E5" i="3"/>
  <c r="L11" i="1" l="1"/>
  <c r="M11" i="1" s="1"/>
  <c r="N11" i="1" s="1"/>
  <c r="O11" i="1" s="1"/>
  <c r="K11" i="1"/>
  <c r="J11" i="1"/>
  <c r="G18" i="2" l="1"/>
  <c r="G24" i="2"/>
  <c r="G20" i="2" l="1"/>
  <c r="K13" i="6" l="1"/>
  <c r="K12" i="6"/>
  <c r="K11" i="6"/>
  <c r="H11" i="6"/>
  <c r="H6" i="6" l="1"/>
  <c r="J6" i="1" l="1"/>
  <c r="K6" i="1" l="1"/>
  <c r="L6" i="1" s="1"/>
  <c r="M6" i="1" s="1"/>
  <c r="N6" i="1" s="1"/>
  <c r="O6" i="1" s="1"/>
  <c r="H30" i="1"/>
  <c r="H29" i="1"/>
  <c r="J9" i="1"/>
  <c r="D11" i="1"/>
  <c r="E11" i="1"/>
  <c r="F11" i="1"/>
  <c r="K7" i="6" l="1"/>
  <c r="J7" i="6"/>
  <c r="I7" i="6"/>
  <c r="H7" i="6"/>
  <c r="J6" i="6"/>
  <c r="J11" i="6" s="1"/>
  <c r="I6" i="6"/>
  <c r="I11" i="6" s="1"/>
  <c r="J26" i="6"/>
  <c r="I27" i="6"/>
  <c r="I26" i="6"/>
  <c r="J25" i="6"/>
  <c r="I25" i="6"/>
  <c r="G13" i="2"/>
  <c r="H13" i="6" l="1"/>
  <c r="H12" i="6"/>
  <c r="I13" i="6"/>
  <c r="I12" i="6"/>
  <c r="K19" i="6"/>
  <c r="K18" i="6"/>
  <c r="J12" i="6"/>
  <c r="J13" i="6"/>
  <c r="I28" i="6"/>
  <c r="G20" i="1" s="1"/>
  <c r="J27" i="6"/>
  <c r="J28" i="6" s="1"/>
  <c r="H20" i="1" s="1"/>
  <c r="H11" i="1" l="1"/>
  <c r="G11" i="1"/>
  <c r="H7" i="1"/>
  <c r="G7" i="1"/>
  <c r="F7" i="1"/>
  <c r="E7" i="1"/>
  <c r="I7" i="1" s="1"/>
  <c r="G5" i="7" l="1"/>
  <c r="E12" i="1"/>
  <c r="H12" i="1"/>
  <c r="G12" i="1"/>
  <c r="F12" i="1"/>
  <c r="M6" i="3"/>
  <c r="M7" i="3"/>
  <c r="M8" i="3"/>
  <c r="M5" i="3"/>
  <c r="L6" i="3"/>
  <c r="L7" i="3"/>
  <c r="L8" i="3"/>
  <c r="L5" i="3"/>
  <c r="K6" i="3"/>
  <c r="K7" i="3"/>
  <c r="K8" i="3"/>
  <c r="K5" i="3"/>
  <c r="J6" i="3"/>
  <c r="J7" i="3"/>
  <c r="J8" i="3"/>
  <c r="J5" i="3"/>
  <c r="G22" i="2"/>
  <c r="H31" i="1" s="1"/>
  <c r="D14" i="1"/>
  <c r="D16" i="1" s="1"/>
  <c r="E14" i="1"/>
  <c r="E16" i="1" s="1"/>
  <c r="F14" i="1"/>
  <c r="F16" i="1" s="1"/>
  <c r="G14" i="1"/>
  <c r="G16" i="1" s="1"/>
  <c r="H14" i="1"/>
  <c r="H16" i="1" s="1"/>
  <c r="I16" i="1" l="1"/>
  <c r="G9" i="7" s="1"/>
  <c r="I12" i="1"/>
  <c r="G7" i="7"/>
  <c r="K6" i="6"/>
  <c r="K17" i="6" s="1"/>
  <c r="O19" i="3" l="1"/>
  <c r="J19" i="1"/>
  <c r="J18" i="1"/>
  <c r="K18" i="1"/>
  <c r="L18" i="1" s="1"/>
  <c r="M18" i="1" s="1"/>
  <c r="N18" i="1" s="1"/>
  <c r="O18" i="1" s="1"/>
  <c r="K19" i="1"/>
  <c r="L19" i="1" s="1"/>
  <c r="M19" i="1" s="1"/>
  <c r="N19" i="1" s="1"/>
  <c r="O19" i="1" s="1"/>
  <c r="K9" i="1"/>
  <c r="L6" i="6"/>
  <c r="L17" i="6" s="1"/>
  <c r="L9" i="1" l="1"/>
  <c r="L7" i="6"/>
  <c r="J14" i="1"/>
  <c r="J15" i="1" s="1"/>
  <c r="K14" i="1"/>
  <c r="K15" i="1" s="1"/>
  <c r="L14" i="1"/>
  <c r="L15" i="1" s="1"/>
  <c r="M14" i="1"/>
  <c r="M15" i="1" s="1"/>
  <c r="M6" i="6"/>
  <c r="M17" i="6" s="1"/>
  <c r="M9" i="1" l="1"/>
  <c r="M7" i="6"/>
  <c r="L19" i="6"/>
  <c r="L27" i="6" s="1"/>
  <c r="L18" i="6"/>
  <c r="O14" i="1"/>
  <c r="O15" i="1" s="1"/>
  <c r="N6" i="6"/>
  <c r="N17" i="6" s="1"/>
  <c r="K27" i="6"/>
  <c r="K26" i="6"/>
  <c r="N9" i="1" l="1"/>
  <c r="N7" i="6"/>
  <c r="L26" i="6"/>
  <c r="M18" i="6"/>
  <c r="M19" i="6"/>
  <c r="M27" i="6" s="1"/>
  <c r="O6" i="6"/>
  <c r="O17" i="6" s="1"/>
  <c r="N14" i="1"/>
  <c r="N15" i="1" s="1"/>
  <c r="K25" i="6"/>
  <c r="K28" i="6" s="1"/>
  <c r="O9" i="1" l="1"/>
  <c r="O7" i="6"/>
  <c r="M26" i="6"/>
  <c r="N18" i="6"/>
  <c r="N19" i="6"/>
  <c r="J20" i="1"/>
  <c r="J24" i="1" s="1"/>
  <c r="O25" i="6"/>
  <c r="N25" i="6"/>
  <c r="M25" i="6"/>
  <c r="M28" i="6" s="1"/>
  <c r="L25" i="6"/>
  <c r="L28" i="6" s="1"/>
  <c r="N27" i="6" l="1"/>
  <c r="N26" i="6"/>
  <c r="N28" i="6" s="1"/>
  <c r="M20" i="1" s="1"/>
  <c r="M24" i="1" s="1"/>
  <c r="O18" i="6"/>
  <c r="O26" i="6" s="1"/>
  <c r="O19" i="6"/>
  <c r="O27" i="6" s="1"/>
  <c r="K20" i="1"/>
  <c r="K24" i="1" s="1"/>
  <c r="L20" i="1"/>
  <c r="L24" i="1" s="1"/>
  <c r="O28" i="6" l="1"/>
  <c r="P28" i="6"/>
  <c r="O20" i="1" s="1"/>
  <c r="O24" i="1" s="1"/>
  <c r="N20" i="1"/>
  <c r="N24" i="1" s="1"/>
  <c r="K30" i="1" l="1"/>
  <c r="K29" i="1"/>
  <c r="N25" i="1" l="1"/>
  <c r="D24" i="1" s="1"/>
  <c r="D27" i="1" s="1"/>
  <c r="D29" i="1" l="1"/>
  <c r="D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furkan panayir</author>
  </authors>
  <commentList>
    <comment ref="C10" authorId="0" shapeId="0" xr:uid="{FB46F69F-8FE9-48E1-8D65-8F1EF7870F42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D&amp;A INCLUDED
</t>
        </r>
      </text>
    </comment>
  </commentList>
</comments>
</file>

<file path=xl/sharedStrings.xml><?xml version="1.0" encoding="utf-8"?>
<sst xmlns="http://schemas.openxmlformats.org/spreadsheetml/2006/main" count="105" uniqueCount="94">
  <si>
    <t>REVENUE</t>
  </si>
  <si>
    <t xml:space="preserve">Average </t>
  </si>
  <si>
    <t>COGS</t>
  </si>
  <si>
    <t>EBIT</t>
  </si>
  <si>
    <t>INCOME TAX</t>
  </si>
  <si>
    <t>TAX RATE</t>
  </si>
  <si>
    <t>DEPRECİATİON&amp;AMORTİZATİON</t>
  </si>
  <si>
    <t>(NET CAPİTAL EXPENDİTURE)</t>
  </si>
  <si>
    <t>FCF</t>
  </si>
  <si>
    <t>EV/EBİTDA multiple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</si>
  <si>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</si>
  <si>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</si>
  <si>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</si>
  <si>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</si>
  <si>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</si>
  <si>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</si>
  <si>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</si>
  <si>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</si>
  <si>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</si>
  <si>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</si>
  <si>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</si>
  <si>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</si>
  <si>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</si>
  <si>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</si>
  <si>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</si>
  <si>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MARKET PRICE 8TH OF FEBRUARY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</si>
  <si>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</si>
  <si>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</si>
  <si>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</si>
  <si>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</si>
  <si>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</si>
  <si>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</si>
  <si>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</si>
  <si>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</si>
  <si>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</si>
  <si>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</si>
  <si>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</si>
  <si>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</si>
  <si>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</si>
  <si>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</si>
  <si>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CHANGE IN WORKING CAPITAL</t>
  </si>
  <si>
    <t>REVENUE INCREASE</t>
  </si>
  <si>
    <t>INCREASE IN EXPENSES</t>
  </si>
  <si>
    <t>Days in Period</t>
  </si>
  <si>
    <t>Revenue</t>
  </si>
  <si>
    <t>AMOUNTS PER DAY</t>
  </si>
  <si>
    <t>Accounts Receivable</t>
  </si>
  <si>
    <t>(Days)</t>
  </si>
  <si>
    <t>Inventory</t>
  </si>
  <si>
    <t>Accounts Payable</t>
  </si>
  <si>
    <t>TOTAL AMOUNTS</t>
  </si>
  <si>
    <t>CASH CHANGES</t>
  </si>
  <si>
    <t>Cash from Working Capital Items</t>
  </si>
  <si>
    <t>2025 F</t>
  </si>
  <si>
    <t>2026 F</t>
  </si>
  <si>
    <t>2027 F</t>
  </si>
  <si>
    <t>2028 F</t>
  </si>
  <si>
    <t>2022 A</t>
  </si>
  <si>
    <t>2023 A</t>
  </si>
  <si>
    <t>MULTIPLE METHOD</t>
  </si>
  <si>
    <t>PERPETUITY METHOD</t>
  </si>
  <si>
    <t xml:space="preserve">TERMINAL GROWTH </t>
  </si>
  <si>
    <t>WEIGHTED TERMINAL VALUE</t>
  </si>
  <si>
    <t>EFFECTIVE TAX RATE FROM EBITDA</t>
  </si>
  <si>
    <t>EBIT (OPERATING INCOME)</t>
  </si>
  <si>
    <t xml:space="preserve">OPERATING EXPENSES </t>
  </si>
  <si>
    <t>WORKING CAPITAL SCHEDULE</t>
  </si>
  <si>
    <t>TERMINAL</t>
  </si>
  <si>
    <t>Average Difference</t>
  </si>
  <si>
    <t>YEARS</t>
  </si>
  <si>
    <t>WEIGHTED AVERAGE COST OF CAPITAL</t>
  </si>
  <si>
    <t>2020A</t>
  </si>
  <si>
    <t>2022A</t>
  </si>
  <si>
    <t>2023A</t>
  </si>
  <si>
    <t>2024A</t>
  </si>
  <si>
    <t>ASSUMPTIONS</t>
  </si>
  <si>
    <t>HISTORICAL REVENUE INCREASE</t>
  </si>
  <si>
    <t>HISTORICAL INCREASE OF EXPENSES</t>
  </si>
  <si>
    <t>Expense Increase Assumption</t>
  </si>
  <si>
    <t>Revenue Increase Assumption</t>
  </si>
  <si>
    <t>Effective Tax Rate from Ebitda</t>
  </si>
  <si>
    <t>EV/EBITDA Multiple Assumption</t>
  </si>
  <si>
    <t>Terminal Growth Rate Assumption</t>
  </si>
  <si>
    <t>SAMSONITE INTERNATIONAL VALUATION</t>
  </si>
  <si>
    <t>All numbers in thousands</t>
  </si>
  <si>
    <t>2021A</t>
  </si>
  <si>
    <t>TOTAL EXPENSES</t>
  </si>
  <si>
    <t>2024 A</t>
  </si>
  <si>
    <t>2029 F</t>
  </si>
  <si>
    <t>FCFF=EBIT*(1-TAX RATE)+DEPRECİATİON&amp;AMORTİZATİON-NET CAPEX- NET CHANGE IN WORKING CAPITAL</t>
  </si>
  <si>
    <t>Avolta</t>
  </si>
  <si>
    <t>B. Riley</t>
  </si>
  <si>
    <t>V.F. Corporation</t>
  </si>
  <si>
    <t>Samsonite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</si>
</sst>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[$$-409]* #,##0.00_ ;_-[$$-409]* \-#,##0.00\ ;_-[$$-409]* &quot;-&quot;??_ ;_-@_ "/>
    <numFmt numFmtId="165" formatCode="0.0%"/>
    <numFmt numFmtId="166" formatCode="0&quot;A&quot;"/>
    <numFmt numFmtId="167" formatCode="_(#,##0_)_%;\(#,##0\)_%;_(&quot;–&quot;_)_%;_(@_)_%"/>
    <numFmt numFmtId="168" formatCode="_(#,##0_);\(#,##0\);_(&quot;–&quot;_);_(@_)"/>
    <numFmt numFmtId="169" formatCode="#,##0_);\(#,##0\);\-"/>
    <numFmt numFmtId="170" formatCode="0.0"/>
    <numFmt numFmtId="171" formatCode="_-[$€-2]\ * #,##0.00_-;\-[$€-2]\ * #,##0.00_-;_-[$€-2]\ * &quot;-&quot;??_-;_-@_-"/>
    <numFmt numFmtId="172" formatCode="_-[$$-409]* #,##0.0_ ;_-[$$-409]* \-#,##0.0\ ;_-[$$-409]* &quot;-&quot;??_ ;_-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i/>
      <sz val="9"/>
      <name val="Open Sans"/>
      <family val="2"/>
    </font>
    <font>
      <b/>
      <sz val="10"/>
      <name val="Open Sans"/>
      <family val="2"/>
    </font>
    <font>
      <sz val="14"/>
      <color theme="1"/>
      <name val="Open Sans"/>
      <family val="2"/>
    </font>
    <font>
      <sz val="10"/>
      <color rgb="FF000000"/>
      <name val="Open Sans"/>
      <family val="2"/>
    </font>
    <font>
      <i/>
      <sz val="8"/>
      <name val="Open Sans"/>
      <family val="2"/>
    </font>
    <font>
      <sz val="10"/>
      <name val="Open Sans"/>
      <family val="2"/>
    </font>
    <font>
      <sz val="11"/>
      <name val="Open Sans"/>
      <family val="2"/>
    </font>
    <font>
      <b/>
      <sz val="10"/>
      <color rgb="FF000000"/>
      <name val="Open Sans"/>
      <family val="2"/>
    </font>
    <font>
      <sz val="10"/>
      <color rgb="FF0000FF"/>
      <name val="Open Sans"/>
      <family val="2"/>
    </font>
    <font>
      <sz val="10"/>
      <color theme="4" tint="-0.249977111117893"/>
      <name val="Open Sans"/>
      <family val="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charset val="162"/>
      <scheme val="minor"/>
    </font>
    <font>
      <b/>
      <sz val="11"/>
      <color theme="4" tint="-0.249977111117893"/>
      <name val="Calibri"/>
      <family val="2"/>
      <charset val="162"/>
      <scheme val="minor"/>
    </font>
    <font>
      <i/>
      <sz val="13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3"/>
      <color rgb="FF007BB8"/>
      <name val="Calibri"/>
      <family val="2"/>
      <scheme val="minor"/>
    </font>
    <font>
      <sz val="11"/>
      <color rgb="FF007BB8"/>
      <name val="Calibri"/>
      <family val="2"/>
      <scheme val="minor"/>
    </font>
    <font>
      <b/>
      <i/>
      <sz val="32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theme="4" tint="-0.249977111117893"/>
      <name val="Calibri"/>
      <family val="2"/>
      <charset val="162"/>
      <scheme val="minor"/>
    </font>
    <font>
      <sz val="11"/>
      <color theme="4" tint="-0.249977111117893"/>
      <name val="Arial"/>
      <family val="2"/>
      <charset val="162"/>
    </font>
    <font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2" fillId="0" borderId="0" xfId="0" applyFont="1"/>
    <xf numFmtId="10" fontId="0" fillId="0" borderId="0" xfId="0" applyNumberFormat="1"/>
    <xf numFmtId="0" fontId="0" fillId="0" borderId="0" xfId="1" applyNumberFormat="1" applyFont="1"/>
    <xf numFmtId="0" fontId="2" fillId="0" borderId="0" xfId="0" applyFont="1" applyAlignment="1">
      <alignment wrapText="1"/>
    </xf>
    <xf numFmtId="0" fontId="22" fillId="0" borderId="0" xfId="0" applyFont="1"/>
    <xf numFmtId="0" fontId="2" fillId="0" borderId="5" xfId="0" applyFont="1" applyBorder="1"/>
    <xf numFmtId="0" fontId="0" fillId="0" borderId="5" xfId="0" applyBorder="1"/>
    <xf numFmtId="165" fontId="3" fillId="0" borderId="6" xfId="1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10" fontId="3" fillId="0" borderId="10" xfId="1" applyNumberFormat="1" applyFont="1" applyBorder="1" applyAlignment="1">
      <alignment horizontal="center"/>
    </xf>
    <xf numFmtId="0" fontId="2" fillId="0" borderId="11" xfId="0" applyFont="1" applyBorder="1"/>
    <xf numFmtId="0" fontId="22" fillId="0" borderId="13" xfId="0" applyFont="1" applyBorder="1"/>
    <xf numFmtId="0" fontId="22" fillId="2" borderId="14" xfId="0" applyFont="1" applyFill="1" applyBorder="1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6" xfId="0" applyFont="1" applyBorder="1" applyAlignment="1">
      <alignment horizontal="center"/>
    </xf>
    <xf numFmtId="0" fontId="21" fillId="0" borderId="5" xfId="0" applyFont="1" applyBorder="1"/>
    <xf numFmtId="9" fontId="23" fillId="0" borderId="5" xfId="1" applyFont="1" applyBorder="1"/>
    <xf numFmtId="9" fontId="1" fillId="0" borderId="0" xfId="1" applyFont="1" applyBorder="1"/>
    <xf numFmtId="9" fontId="2" fillId="0" borderId="0" xfId="1" applyFont="1" applyBorder="1"/>
    <xf numFmtId="9" fontId="0" fillId="0" borderId="0" xfId="1" applyFont="1" applyBorder="1"/>
    <xf numFmtId="0" fontId="22" fillId="0" borderId="5" xfId="0" applyFont="1" applyBorder="1"/>
    <xf numFmtId="164" fontId="0" fillId="0" borderId="6" xfId="0" applyNumberFormat="1" applyBorder="1"/>
    <xf numFmtId="0" fontId="23" fillId="0" borderId="5" xfId="0" applyFont="1" applyBorder="1"/>
    <xf numFmtId="0" fontId="23" fillId="0" borderId="7" xfId="0" applyFont="1" applyBorder="1"/>
    <xf numFmtId="164" fontId="3" fillId="0" borderId="15" xfId="0" applyNumberFormat="1" applyFont="1" applyBorder="1"/>
    <xf numFmtId="0" fontId="0" fillId="0" borderId="15" xfId="0" applyBorder="1"/>
    <xf numFmtId="164" fontId="0" fillId="0" borderId="15" xfId="0" applyNumberFormat="1" applyBorder="1"/>
    <xf numFmtId="164" fontId="0" fillId="0" borderId="8" xfId="0" applyNumberFormat="1" applyBorder="1"/>
    <xf numFmtId="0" fontId="21" fillId="0" borderId="3" xfId="0" applyFont="1" applyBorder="1"/>
    <xf numFmtId="0" fontId="21" fillId="0" borderId="7" xfId="0" applyFont="1" applyBorder="1"/>
    <xf numFmtId="0" fontId="0" fillId="0" borderId="3" xfId="0" applyBorder="1"/>
    <xf numFmtId="0" fontId="0" fillId="0" borderId="13" xfId="0" applyBorder="1"/>
    <xf numFmtId="164" fontId="0" fillId="2" borderId="6" xfId="0" applyNumberFormat="1" applyFill="1" applyBorder="1"/>
    <xf numFmtId="0" fontId="0" fillId="0" borderId="8" xfId="0" applyBorder="1"/>
    <xf numFmtId="37" fontId="4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right"/>
    </xf>
    <xf numFmtId="37" fontId="8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64" fontId="9" fillId="0" borderId="0" xfId="0" applyNumberFormat="1" applyFont="1"/>
    <xf numFmtId="167" fontId="6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indent="1"/>
    </xf>
    <xf numFmtId="0" fontId="12" fillId="0" borderId="5" xfId="0" applyFont="1" applyBorder="1"/>
    <xf numFmtId="0" fontId="7" fillId="0" borderId="0" xfId="0" applyFont="1"/>
    <xf numFmtId="169" fontId="11" fillId="0" borderId="0" xfId="0" applyNumberFormat="1" applyFont="1"/>
    <xf numFmtId="0" fontId="13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indent="1"/>
    </xf>
    <xf numFmtId="168" fontId="11" fillId="0" borderId="0" xfId="0" applyNumberFormat="1" applyFont="1"/>
    <xf numFmtId="0" fontId="6" fillId="0" borderId="0" xfId="0" applyFont="1" applyAlignment="1">
      <alignment horizontal="center"/>
    </xf>
    <xf numFmtId="40" fontId="11" fillId="0" borderId="0" xfId="0" applyNumberFormat="1" applyFont="1"/>
    <xf numFmtId="38" fontId="11" fillId="0" borderId="0" xfId="0" applyNumberFormat="1" applyFont="1"/>
    <xf numFmtId="169" fontId="14" fillId="0" borderId="0" xfId="0" applyNumberFormat="1" applyFont="1"/>
    <xf numFmtId="164" fontId="15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11" fillId="0" borderId="0" xfId="0" applyNumberFormat="1" applyFont="1"/>
    <xf numFmtId="168" fontId="9" fillId="0" borderId="0" xfId="0" applyNumberFormat="1" applyFont="1"/>
    <xf numFmtId="0" fontId="11" fillId="0" borderId="7" xfId="0" applyFont="1" applyBorder="1" applyAlignment="1">
      <alignment horizontal="left" indent="1"/>
    </xf>
    <xf numFmtId="0" fontId="7" fillId="0" borderId="15" xfId="0" applyFont="1" applyBorder="1"/>
    <xf numFmtId="168" fontId="15" fillId="0" borderId="1" xfId="0" applyNumberFormat="1" applyFont="1" applyBorder="1"/>
    <xf numFmtId="164" fontId="9" fillId="0" borderId="15" xfId="0" applyNumberFormat="1" applyFont="1" applyBorder="1" applyAlignment="1">
      <alignment horizontal="right" vertical="center"/>
    </xf>
    <xf numFmtId="0" fontId="25" fillId="0" borderId="5" xfId="0" applyFont="1" applyBorder="1"/>
    <xf numFmtId="0" fontId="25" fillId="0" borderId="7" xfId="0" applyFont="1" applyBorder="1"/>
    <xf numFmtId="0" fontId="21" fillId="3" borderId="17" xfId="0" applyFont="1" applyFill="1" applyBorder="1" applyAlignment="1">
      <alignment horizontal="centerContinuous"/>
    </xf>
    <xf numFmtId="0" fontId="22" fillId="3" borderId="18" xfId="0" applyFont="1" applyFill="1" applyBorder="1" applyAlignment="1">
      <alignment horizontal="centerContinuous"/>
    </xf>
    <xf numFmtId="0" fontId="22" fillId="3" borderId="13" xfId="0" applyFont="1" applyFill="1" applyBorder="1" applyAlignment="1">
      <alignment horizontal="centerContinuous"/>
    </xf>
    <xf numFmtId="0" fontId="21" fillId="3" borderId="13" xfId="0" applyFont="1" applyFill="1" applyBorder="1" applyAlignment="1">
      <alignment horizontal="centerContinuous"/>
    </xf>
    <xf numFmtId="0" fontId="22" fillId="3" borderId="4" xfId="0" applyFont="1" applyFill="1" applyBorder="1"/>
    <xf numFmtId="164" fontId="0" fillId="3" borderId="6" xfId="0" applyNumberFormat="1" applyFill="1" applyBorder="1"/>
    <xf numFmtId="9" fontId="0" fillId="3" borderId="8" xfId="1" applyFont="1" applyFill="1" applyBorder="1"/>
    <xf numFmtId="0" fontId="0" fillId="3" borderId="13" xfId="0" applyFill="1" applyBorder="1"/>
    <xf numFmtId="0" fontId="2" fillId="3" borderId="3" xfId="0" applyFont="1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24" fillId="3" borderId="13" xfId="0" applyFont="1" applyFill="1" applyBorder="1"/>
    <xf numFmtId="0" fontId="24" fillId="3" borderId="4" xfId="0" applyFont="1" applyFill="1" applyBorder="1"/>
    <xf numFmtId="0" fontId="19" fillId="3" borderId="2" xfId="0" applyFont="1" applyFill="1" applyBorder="1" applyAlignment="1">
      <alignment horizontal="center"/>
    </xf>
    <xf numFmtId="9" fontId="20" fillId="3" borderId="2" xfId="0" applyNumberFormat="1" applyFont="1" applyFill="1" applyBorder="1"/>
    <xf numFmtId="9" fontId="22" fillId="0" borderId="6" xfId="1" applyFont="1" applyBorder="1"/>
    <xf numFmtId="9" fontId="27" fillId="0" borderId="6" xfId="1" applyFont="1" applyBorder="1"/>
    <xf numFmtId="170" fontId="27" fillId="0" borderId="6" xfId="1" applyNumberFormat="1" applyFont="1" applyBorder="1"/>
    <xf numFmtId="0" fontId="28" fillId="0" borderId="0" xfId="0" applyFont="1"/>
    <xf numFmtId="0" fontId="29" fillId="3" borderId="17" xfId="0" applyFont="1" applyFill="1" applyBorder="1" applyAlignment="1">
      <alignment horizontal="centerContinuous"/>
    </xf>
    <xf numFmtId="0" fontId="0" fillId="3" borderId="19" xfId="0" applyFill="1" applyBorder="1" applyAlignment="1">
      <alignment horizontal="centerContinuous"/>
    </xf>
    <xf numFmtId="0" fontId="0" fillId="3" borderId="18" xfId="0" applyFill="1" applyBorder="1" applyAlignment="1">
      <alignment horizontal="centerContinuous"/>
    </xf>
    <xf numFmtId="10" fontId="0" fillId="0" borderId="6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9" fontId="3" fillId="0" borderId="6" xfId="1" applyFont="1" applyBorder="1" applyAlignment="1">
      <alignment horizontal="center"/>
    </xf>
    <xf numFmtId="9" fontId="3" fillId="0" borderId="10" xfId="1" applyFont="1" applyBorder="1" applyAlignment="1">
      <alignment horizontal="center"/>
    </xf>
    <xf numFmtId="9" fontId="3" fillId="0" borderId="8" xfId="1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164" fontId="15" fillId="0" borderId="1" xfId="0" applyNumberFormat="1" applyFont="1" applyBorder="1"/>
    <xf numFmtId="164" fontId="5" fillId="0" borderId="16" xfId="0" applyNumberFormat="1" applyFont="1" applyBorder="1"/>
    <xf numFmtId="9" fontId="28" fillId="0" borderId="0" xfId="1" applyFont="1"/>
    <xf numFmtId="9" fontId="27" fillId="0" borderId="8" xfId="1" applyFont="1" applyBorder="1"/>
    <xf numFmtId="165" fontId="0" fillId="0" borderId="0" xfId="0" applyNumberFormat="1"/>
    <xf numFmtId="165" fontId="0" fillId="0" borderId="12" xfId="0" applyNumberFormat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0" fillId="3" borderId="6" xfId="0" applyFill="1" applyBorder="1"/>
    <xf numFmtId="0" fontId="2" fillId="3" borderId="3" xfId="0" applyFont="1" applyFill="1" applyBorder="1"/>
    <xf numFmtId="0" fontId="2" fillId="3" borderId="13" xfId="0" applyFont="1" applyFill="1" applyBorder="1"/>
    <xf numFmtId="0" fontId="2" fillId="3" borderId="4" xfId="0" applyFont="1" applyFill="1" applyBorder="1"/>
    <xf numFmtId="0" fontId="0" fillId="3" borderId="4" xfId="0" applyFill="1" applyBorder="1"/>
    <xf numFmtId="0" fontId="2" fillId="3" borderId="7" xfId="0" applyFont="1" applyFill="1" applyBorder="1"/>
    <xf numFmtId="9" fontId="0" fillId="3" borderId="15" xfId="1" applyFont="1" applyFill="1" applyBorder="1"/>
    <xf numFmtId="171" fontId="0" fillId="0" borderId="0" xfId="0" applyNumberFormat="1"/>
    <xf numFmtId="171" fontId="33" fillId="0" borderId="0" xfId="0" applyNumberFormat="1" applyFont="1"/>
    <xf numFmtId="164" fontId="33" fillId="0" borderId="0" xfId="0" applyNumberFormat="1" applyFont="1"/>
    <xf numFmtId="164" fontId="33" fillId="0" borderId="15" xfId="0" applyNumberFormat="1" applyFont="1" applyBorder="1"/>
    <xf numFmtId="172" fontId="31" fillId="0" borderId="0" xfId="0" applyNumberFormat="1" applyFont="1"/>
    <xf numFmtId="172" fontId="32" fillId="0" borderId="0" xfId="0" applyNumberFormat="1" applyFont="1"/>
    <xf numFmtId="172" fontId="0" fillId="0" borderId="0" xfId="0" applyNumberFormat="1"/>
    <xf numFmtId="172" fontId="0" fillId="0" borderId="6" xfId="0" applyNumberFormat="1" applyBorder="1"/>
    <xf numFmtId="172" fontId="3" fillId="0" borderId="0" xfId="0" applyNumberFormat="1" applyFont="1"/>
    <xf numFmtId="172" fontId="3" fillId="0" borderId="15" xfId="0" applyNumberFormat="1" applyFont="1" applyBorder="1"/>
    <xf numFmtId="172" fontId="0" fillId="0" borderId="15" xfId="0" applyNumberFormat="1" applyBorder="1"/>
    <xf numFmtId="172" fontId="0" fillId="0" borderId="15" xfId="1" applyNumberFormat="1" applyFont="1" applyBorder="1"/>
    <xf numFmtId="172" fontId="0" fillId="0" borderId="8" xfId="0" applyNumberFormat="1" applyBorder="1"/>
    <xf numFmtId="172" fontId="0" fillId="3" borderId="13" xfId="0" applyNumberFormat="1" applyFill="1" applyBorder="1"/>
    <xf numFmtId="172" fontId="0" fillId="3" borderId="4" xfId="0" applyNumberFormat="1" applyFill="1" applyBorder="1"/>
    <xf numFmtId="172" fontId="0" fillId="3" borderId="0" xfId="0" applyNumberFormat="1" applyFill="1"/>
    <xf numFmtId="172" fontId="18" fillId="0" borderId="0" xfId="0" applyNumberFormat="1" applyFont="1"/>
    <xf numFmtId="172" fontId="18" fillId="0" borderId="6" xfId="0" applyNumberFormat="1" applyFont="1" applyBorder="1"/>
    <xf numFmtId="172" fontId="3" fillId="3" borderId="6" xfId="0" applyNumberFormat="1" applyFont="1" applyFill="1" applyBorder="1"/>
    <xf numFmtId="172" fontId="0" fillId="3" borderId="6" xfId="0" applyNumberFormat="1" applyFill="1" applyBorder="1"/>
    <xf numFmtId="0" fontId="0" fillId="2" borderId="0" xfId="0" applyFill="1"/>
    <xf numFmtId="0" fontId="26" fillId="3" borderId="3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RELATIVE</a:t>
            </a:r>
            <a:r>
              <a:rPr lang="tr-TR" baseline="0"/>
              <a:t> VS INTRINSIC TERMINAL VALUE</a:t>
            </a:r>
          </a:p>
        </c:rich>
      </c:tx>
      <c:layout>
        <c:manualLayout>
          <c:xMode val="edge"/>
          <c:yMode val="edge"/>
          <c:x val="0.186048556430446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FCF!$J$29:$J$30</c:f>
              <c:strCache>
                <c:ptCount val="2"/>
                <c:pt idx="0">
                  <c:v>MULTIPLE METHOD</c:v>
                </c:pt>
                <c:pt idx="1">
                  <c:v>PERPETUITY METHOD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FCF!$J$29:$J$30</c:f>
              <c:strCache>
                <c:ptCount val="2"/>
                <c:pt idx="0">
                  <c:v>MULTIPLE METHOD</c:v>
                </c:pt>
                <c:pt idx="1">
                  <c:v>PERPETUITY METHOD</c:v>
                </c:pt>
              </c:strCache>
            </c:strRef>
          </c:cat>
          <c:val>
            <c:numRef>
              <c:f>FCF!$K$29:$K$30</c:f>
              <c:numCache>
                <c:formatCode>_-[$$-409]* #,##0.00_ ;_-[$$-409]* \-#,##0.00\ ;_-[$$-409]* "-"??_ ;_-@_ </c:formatCode>
                <c:ptCount val="2"/>
                <c:pt idx="0">
                  <c:v>9075792.051813582</c:v>
                </c:pt>
                <c:pt idx="1">
                  <c:v>15772814.318304216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B-40B6-98BC-659B775A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0520184"/>
        <c:axId val="640520544"/>
      </c:barChart>
      <c:catAx>
        <c:axId val="64052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544"/>
        <c:crosses val="autoZero"/>
        <c:auto val="1"/>
        <c:lblAlgn val="ctr"/>
        <c:lblOffset val="100"/>
        <c:noMultiLvlLbl val="0"/>
      </c:catAx>
      <c:valAx>
        <c:axId val="64052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OPERATING</a:t>
            </a:r>
            <a:r>
              <a:rPr lang="tr-TR" baseline="0"/>
              <a:t> </a:t>
            </a:r>
            <a:r>
              <a:rPr lang="tr-TR"/>
              <a:t>INCOME</a:t>
            </a:r>
            <a:r>
              <a:rPr lang="tr-TR" baseline="0"/>
              <a:t>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REVENUE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FCF!$J$5:$N$5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FCF!$J$6:$N$6</c:f>
              <c:numCache>
                <c:formatCode>_-[$$-409]* #,##0.0_ ;_-[$$-409]* \-#,##0.0\ ;_-[$$-409]* "-"??_ ;_-@_ </c:formatCode>
                <c:ptCount val="5"/>
                <c:pt idx="0">
                  <c:v>3899490</c:v>
                </c:pt>
                <c:pt idx="1">
                  <c:v>4230946.6500000004</c:v>
                </c:pt>
                <c:pt idx="2">
                  <c:v>4590577.1152500007</c:v>
                </c:pt>
                <c:pt idx="3">
                  <c:v>4980776.1700462513</c:v>
                </c:pt>
                <c:pt idx="4">
                  <c:v>5404142.1445001829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2-4D1A-AFCC-1464CB30B0E5}"/>
            </c:ext>
          </c:extLst>
        </c:ser>
        <c:ser>
          <c:idx val="5"/>
          <c:order val="1"/>
          <c:tx>
            <c:v>TOTAL OPERATING EXPENSE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FCF!$J$5:$N$5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FCF!$J$11:$N$11</c:f>
              <c:numCache>
                <c:formatCode>_-[$$-409]* #,##0.0_ ;_-[$$-409]* \-#,##0.0\ ;_-[$$-409]* "-"??_ ;_-@_ </c:formatCode>
                <c:ptCount val="5"/>
                <c:pt idx="0">
                  <c:v>3249072.0000000005</c:v>
                </c:pt>
                <c:pt idx="1">
                  <c:v>3541488.4800000004</c:v>
                </c:pt>
                <c:pt idx="2">
                  <c:v>3860222.4432000006</c:v>
                </c:pt>
                <c:pt idx="3">
                  <c:v>4207642.4630880002</c:v>
                </c:pt>
                <c:pt idx="4">
                  <c:v>4586330.2847659206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2-4D1A-AFCC-1464CB30B0E5}"/>
            </c:ext>
          </c:extLst>
        </c:ser>
        <c:ser>
          <c:idx val="8"/>
          <c:order val="2"/>
          <c:tx>
            <c:v>EBIT (OPERATING INCOME)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FCF!$J$5:$N$5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FCF!$J$14:$N$14</c:f>
              <c:numCache>
                <c:formatCode>_-[$$-409]* #,##0.0_ ;_-[$$-409]* \-#,##0.0\ ;_-[$$-409]* "-"??_ ;_-@_ </c:formatCode>
                <c:ptCount val="5"/>
                <c:pt idx="0">
                  <c:v>650417.99999999953</c:v>
                </c:pt>
                <c:pt idx="1">
                  <c:v>689458.16999999993</c:v>
                </c:pt>
                <c:pt idx="2">
                  <c:v>730354.67205000017</c:v>
                </c:pt>
                <c:pt idx="3">
                  <c:v>773133.70695825107</c:v>
                </c:pt>
                <c:pt idx="4">
                  <c:v>817811.85973426234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52-4D1A-AFCC-1464CB30B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796360"/>
        <c:axId val="686792760"/>
      </c:lineChart>
      <c:catAx>
        <c:axId val="6867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2760"/>
        <c:crosses val="autoZero"/>
        <c:auto val="1"/>
        <c:lblAlgn val="ctr"/>
        <c:lblOffset val="100"/>
        <c:noMultiLvlLbl val="0"/>
      </c:catAx>
      <c:valAx>
        <c:axId val="68679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_ ;_-[$$-409]* \-#,##0.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1219040</xdr:colOff>
      <xdr:row>34</xdr:row>
      <xdr:rowOff>5922</xdr:rowOff>
    </xdr:from>
    <xdr:to>
      <xdr:col>9</xdr:col>
      <xdr:colOff>1243853</xdr:colOff>
      <xdr:row>50</xdr:row>
      <xdr:rowOff>60831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0F60F-8042-8876-F030-AEBCBB799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1243852</xdr:colOff>
      <xdr:row>33</xdr:row>
      <xdr:rowOff>188099</xdr:rowOff>
    </xdr:from>
    <xdr:to>
      <xdr:col>14</xdr:col>
      <xdr:colOff>1249455</xdr:colOff>
      <xdr:row>49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EBD7B7E-CAD2-9F8A-D9C2-93DDB85D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29</xdr:col>
      <xdr:colOff>266700</xdr:colOff>
      <xdr:row>40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" y="0"/>
          <a:ext cx="17945099" cy="762952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Premium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luggage manufacturer with strong brand image that provides the company with strong pricing power. The company operates in 100+ countries.</a:t>
          </a:r>
          <a:endParaRPr lang="tr-TR" sz="2400">
            <a:solidFill>
              <a:schemeClr val="accent1">
                <a:lumMod val="75000"/>
              </a:schemeClr>
            </a:solidFill>
          </a:endParaRPr>
        </a:p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Has high percentage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of debt ! Probably the main reason of the low p/e ratio.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Unstable dividend record.</a:t>
          </a:r>
          <a:endParaRPr lang="tr-TR" sz="2400">
            <a:solidFill>
              <a:schemeClr val="accent1">
                <a:lumMod val="75000"/>
              </a:schemeClr>
            </a:solidFill>
          </a:endParaRPr>
        </a:p>
        <a:p>
          <a:endParaRPr lang="tr-TR" sz="2400">
            <a:solidFill>
              <a:schemeClr val="accent1">
                <a:lumMod val="75000"/>
              </a:schemeClr>
            </a:solidFill>
          </a:endParaRPr>
        </a:p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3.7B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Market Value</a:t>
          </a:r>
          <a:endParaRPr lang="tr-TR" sz="2400">
            <a:solidFill>
              <a:schemeClr val="accent1">
                <a:lumMod val="75000"/>
              </a:schemeClr>
            </a:solidFill>
          </a:endParaRPr>
        </a:p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Year Established:2011</a:t>
          </a:r>
        </a:p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Operating Leverage:%50</a:t>
          </a:r>
          <a:endParaRPr lang="en-US" sz="2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66"/>
  <sheetViews>
    <sheetView tabSelected="1" zoomScale="70" zoomScaleNormal="70" workbookViewId="0">
      <selection activeCell="K33" sqref="K33"/>
    </sheetView>
  </sheetViews>
  <sheetFormatPr defaultColWidth="18.7109375" defaultRowHeight="15" x14ac:dyDescent="0.25"/>
  <cols>
    <col min="1" max="1" width="17.5703125" customWidth="1"/>
    <col min="2" max="2" width="18.7109375" customWidth="1"/>
    <col min="3" max="3" width="42.5703125" customWidth="1"/>
  </cols>
  <sheetData>
    <row r="1" spans="3:16" ht="15.75" thickBot="1" x14ac:dyDescent="0.3"/>
    <row r="2" spans="3:16" ht="42.75" thickBot="1" x14ac:dyDescent="0.7">
      <c r="C2" s="90" t="s">
        <v>83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3:16" ht="15.75" thickBot="1" x14ac:dyDescent="0.3"/>
    <row r="4" spans="3:16" ht="17.25" x14ac:dyDescent="0.3">
      <c r="C4" s="99" t="s">
        <v>84</v>
      </c>
      <c r="D4" s="74"/>
      <c r="E4" s="74"/>
      <c r="F4" s="74"/>
      <c r="G4" s="74"/>
      <c r="H4" s="74"/>
      <c r="I4" s="19"/>
      <c r="J4" s="75" t="s">
        <v>69</v>
      </c>
      <c r="K4" s="74"/>
      <c r="L4" s="74"/>
      <c r="M4" s="74"/>
      <c r="N4" s="74"/>
      <c r="O4" s="76"/>
      <c r="P4" s="9"/>
    </row>
    <row r="5" spans="3:16" ht="17.25" x14ac:dyDescent="0.3">
      <c r="C5" s="20"/>
      <c r="D5" s="21" t="s">
        <v>71</v>
      </c>
      <c r="E5" s="21" t="s">
        <v>85</v>
      </c>
      <c r="F5" s="21" t="s">
        <v>72</v>
      </c>
      <c r="G5" s="21" t="s">
        <v>73</v>
      </c>
      <c r="H5" s="21" t="s">
        <v>74</v>
      </c>
      <c r="I5" s="21" t="s">
        <v>1</v>
      </c>
      <c r="J5" s="21">
        <v>2025</v>
      </c>
      <c r="K5" s="21">
        <v>2026</v>
      </c>
      <c r="L5" s="21">
        <v>2027</v>
      </c>
      <c r="M5" s="21">
        <v>2028</v>
      </c>
      <c r="N5" s="21">
        <v>2029</v>
      </c>
      <c r="O5" s="22" t="s">
        <v>67</v>
      </c>
      <c r="P5" s="9"/>
    </row>
    <row r="6" spans="3:16" ht="17.25" x14ac:dyDescent="0.3">
      <c r="C6" s="23" t="s">
        <v>0</v>
      </c>
      <c r="D6" s="118">
        <v>1536700</v>
      </c>
      <c r="E6" s="119">
        <v>2020000</v>
      </c>
      <c r="F6" s="119">
        <v>2879000</v>
      </c>
      <c r="G6" s="119">
        <v>3682000</v>
      </c>
      <c r="H6" s="119">
        <v>3594000</v>
      </c>
      <c r="I6" s="122"/>
      <c r="J6" s="120">
        <f>H6*ASSUMPTIONS!G6+H6</f>
        <v>3899490</v>
      </c>
      <c r="K6" s="120">
        <f>J6+J6*ASSUMPTIONS!$G$6</f>
        <v>4230946.6500000004</v>
      </c>
      <c r="L6" s="120">
        <f>K6+K6*ASSUMPTIONS!$G$6</f>
        <v>4590577.1152500007</v>
      </c>
      <c r="M6" s="120">
        <f>L6+L6*ASSUMPTIONS!$G$6</f>
        <v>4980776.1700462513</v>
      </c>
      <c r="N6" s="120">
        <f>M6+M6*ASSUMPTIONS!$G$6</f>
        <v>5404142.1445001829</v>
      </c>
      <c r="O6" s="121">
        <f>N6+N6*ASSUMPTIONS!$G$6</f>
        <v>5863494.2267826982</v>
      </c>
    </row>
    <row r="7" spans="3:16" ht="17.25" x14ac:dyDescent="0.3">
      <c r="C7" s="24" t="s">
        <v>41</v>
      </c>
      <c r="D7" s="25"/>
      <c r="E7" s="25">
        <f t="shared" ref="E7:H7" si="0">E6/D6-1</f>
        <v>0.31450510834905976</v>
      </c>
      <c r="F7" s="25">
        <f t="shared" si="0"/>
        <v>0.42524752475247518</v>
      </c>
      <c r="G7" s="25">
        <f t="shared" si="0"/>
        <v>0.27891629037860377</v>
      </c>
      <c r="H7" s="25">
        <f t="shared" si="0"/>
        <v>-2.3900054318305219E-2</v>
      </c>
      <c r="I7" s="26">
        <f>AVERAGE(E7:H7)</f>
        <v>0.24869221729045837</v>
      </c>
      <c r="J7" s="27"/>
      <c r="K7" s="27"/>
      <c r="L7" s="27"/>
      <c r="M7" s="27"/>
      <c r="N7" s="27"/>
      <c r="O7" s="14"/>
    </row>
    <row r="8" spans="3:16" ht="17.25" x14ac:dyDescent="0.3">
      <c r="C8" s="28"/>
      <c r="O8" s="14"/>
    </row>
    <row r="9" spans="3:16" ht="17.25" x14ac:dyDescent="0.3">
      <c r="C9" s="23" t="s">
        <v>2</v>
      </c>
      <c r="D9" s="122">
        <v>830400</v>
      </c>
      <c r="E9" s="122">
        <v>919300</v>
      </c>
      <c r="F9" s="122">
        <v>1274000</v>
      </c>
      <c r="G9" s="122">
        <v>1499600</v>
      </c>
      <c r="H9" s="122">
        <v>1441500</v>
      </c>
      <c r="I9" s="120"/>
      <c r="J9" s="130">
        <f>H9*(1+I10)</f>
        <v>1441500</v>
      </c>
      <c r="K9" s="130">
        <f>J9+J9*$I$12</f>
        <v>1634868.0101086742</v>
      </c>
      <c r="L9" s="130">
        <f>K9+K9*$I$12</f>
        <v>1854175.1026546624</v>
      </c>
      <c r="M9" s="130">
        <f>L9+L9*$I$12</f>
        <v>2102900.8397295</v>
      </c>
      <c r="N9" s="130">
        <f>M9+M9*$I$12</f>
        <v>2384991.5444359537</v>
      </c>
      <c r="O9" s="131">
        <f>N9+N9*$I$12</f>
        <v>2704922.9138938752</v>
      </c>
    </row>
    <row r="10" spans="3:16" ht="17.25" x14ac:dyDescent="0.3">
      <c r="C10" s="23" t="s">
        <v>65</v>
      </c>
      <c r="D10" s="122">
        <v>1017900</v>
      </c>
      <c r="E10" s="122">
        <v>987900</v>
      </c>
      <c r="F10" s="122">
        <v>1185200</v>
      </c>
      <c r="G10" s="122">
        <v>1523100</v>
      </c>
      <c r="H10" s="122">
        <v>1539300</v>
      </c>
      <c r="I10" s="120"/>
      <c r="J10" s="120"/>
      <c r="K10" s="120"/>
      <c r="L10" s="120"/>
      <c r="M10" s="120"/>
      <c r="N10" s="120"/>
      <c r="O10" s="121"/>
    </row>
    <row r="11" spans="3:16" ht="17.25" x14ac:dyDescent="0.3">
      <c r="C11" s="23" t="s">
        <v>86</v>
      </c>
      <c r="D11" s="120">
        <f t="shared" ref="D11:H11" si="1">SUM(D9:D10)</f>
        <v>1848300</v>
      </c>
      <c r="E11" s="120">
        <f t="shared" si="1"/>
        <v>1907200</v>
      </c>
      <c r="F11" s="120">
        <f t="shared" si="1"/>
        <v>2459200</v>
      </c>
      <c r="G11" s="120">
        <f t="shared" si="1"/>
        <v>3022700</v>
      </c>
      <c r="H11" s="120">
        <f t="shared" si="1"/>
        <v>2980800</v>
      </c>
      <c r="I11" s="120"/>
      <c r="J11" s="120">
        <f>H11*(1+ASSUMPTIONS!$G$8)</f>
        <v>3249072.0000000005</v>
      </c>
      <c r="K11" s="120">
        <f>J11+(J11*ASSUMPTIONS!$G$8)</f>
        <v>3541488.4800000004</v>
      </c>
      <c r="L11" s="120">
        <f>K11+(K11*ASSUMPTIONS!$G$8)</f>
        <v>3860222.4432000006</v>
      </c>
      <c r="M11" s="120">
        <f>L11+(L11*ASSUMPTIONS!$G$8)</f>
        <v>4207642.4630880002</v>
      </c>
      <c r="N11" s="120">
        <f>M11+(M11*ASSUMPTIONS!$G$8)</f>
        <v>4586330.2847659206</v>
      </c>
      <c r="O11" s="121">
        <f>N11+(N11*ASSUMPTIONS!$G$8)</f>
        <v>4999100.0103948535</v>
      </c>
    </row>
    <row r="12" spans="3:16" ht="17.25" x14ac:dyDescent="0.3">
      <c r="C12" s="24" t="s">
        <v>42</v>
      </c>
      <c r="D12" s="25"/>
      <c r="E12" s="25">
        <f t="shared" ref="E12" si="2">E11/D11-1</f>
        <v>3.1867121138343446E-2</v>
      </c>
      <c r="F12" s="25">
        <f t="shared" ref="F12" si="3">F11/E11-1</f>
        <v>0.28942953020134232</v>
      </c>
      <c r="G12" s="25">
        <f t="shared" ref="G12" si="4">G11/F11-1</f>
        <v>0.22913955757970061</v>
      </c>
      <c r="H12" s="25">
        <f t="shared" ref="H12" si="5">H11/G11-1</f>
        <v>-1.3861779204022873E-2</v>
      </c>
      <c r="I12" s="26">
        <f>AVERAGE(E12:H12)</f>
        <v>0.13414360742884088</v>
      </c>
      <c r="J12" s="27"/>
      <c r="K12" s="27"/>
      <c r="L12" s="27"/>
      <c r="M12" s="27"/>
      <c r="N12" s="27"/>
      <c r="O12" s="14"/>
    </row>
    <row r="13" spans="3:16" ht="17.25" x14ac:dyDescent="0.3">
      <c r="C13" s="28"/>
      <c r="O13" s="14"/>
    </row>
    <row r="14" spans="3:16" ht="17.25" x14ac:dyDescent="0.3">
      <c r="C14" s="23" t="s">
        <v>64</v>
      </c>
      <c r="D14" s="120">
        <f t="shared" ref="D14:O14" si="6">D6-D11</f>
        <v>-311600</v>
      </c>
      <c r="E14" s="120">
        <f t="shared" si="6"/>
        <v>112800</v>
      </c>
      <c r="F14" s="120">
        <f t="shared" si="6"/>
        <v>419800</v>
      </c>
      <c r="G14" s="120">
        <f t="shared" si="6"/>
        <v>659300</v>
      </c>
      <c r="H14" s="120">
        <f t="shared" si="6"/>
        <v>613200</v>
      </c>
      <c r="I14" s="120"/>
      <c r="J14" s="120">
        <f t="shared" si="6"/>
        <v>650417.99999999953</v>
      </c>
      <c r="K14" s="120">
        <f t="shared" si="6"/>
        <v>689458.16999999993</v>
      </c>
      <c r="L14" s="120">
        <f t="shared" si="6"/>
        <v>730354.67205000017</v>
      </c>
      <c r="M14" s="120">
        <f t="shared" si="6"/>
        <v>773133.70695825107</v>
      </c>
      <c r="N14" s="120">
        <f t="shared" si="6"/>
        <v>817811.85973426234</v>
      </c>
      <c r="O14" s="121">
        <f t="shared" si="6"/>
        <v>864394.21638784464</v>
      </c>
    </row>
    <row r="15" spans="3:16" ht="17.25" x14ac:dyDescent="0.3">
      <c r="C15" s="23" t="s">
        <v>4</v>
      </c>
      <c r="D15" s="122">
        <v>-94400</v>
      </c>
      <c r="E15" s="122">
        <v>-56200</v>
      </c>
      <c r="F15" s="122">
        <v>24300</v>
      </c>
      <c r="G15" s="122">
        <v>134600</v>
      </c>
      <c r="H15" s="122">
        <v>144800</v>
      </c>
      <c r="I15" s="120"/>
      <c r="J15" s="120">
        <f>J14*ASSUMPTIONS!$G$9</f>
        <v>162788.47464908796</v>
      </c>
      <c r="K15" s="120">
        <f>K14*ASSUMPTIONS!$G$9</f>
        <v>172559.55989633073</v>
      </c>
      <c r="L15" s="120">
        <f>L14*ASSUMPTIONS!$G$9</f>
        <v>182795.25323077542</v>
      </c>
      <c r="M15" s="120">
        <f>M14*ASSUMPTIONS!$G$9</f>
        <v>193502.11226554116</v>
      </c>
      <c r="N15" s="120">
        <f>N14*ASSUMPTIONS!$G$9</f>
        <v>204684.28794417519</v>
      </c>
      <c r="O15" s="121">
        <f>O14*ASSUMPTIONS!$G$9</f>
        <v>216343.05320773873</v>
      </c>
    </row>
    <row r="16" spans="3:16" ht="17.25" x14ac:dyDescent="0.3">
      <c r="C16" s="30" t="s">
        <v>63</v>
      </c>
      <c r="D16" s="27">
        <f t="shared" ref="D16:H16" si="7">D15/D14</f>
        <v>0.30295250320924261</v>
      </c>
      <c r="E16" s="27">
        <f t="shared" si="7"/>
        <v>-0.49822695035460995</v>
      </c>
      <c r="F16" s="27">
        <f t="shared" si="7"/>
        <v>5.7884707003334923E-2</v>
      </c>
      <c r="G16" s="27">
        <f t="shared" si="7"/>
        <v>0.20415592294858184</v>
      </c>
      <c r="H16" s="27">
        <f t="shared" si="7"/>
        <v>0.23613829093281147</v>
      </c>
      <c r="I16" s="26">
        <f>AVERAGE(D16,F16:H16)</f>
        <v>0.20028285602349272</v>
      </c>
      <c r="J16" s="1"/>
      <c r="K16" s="1"/>
      <c r="L16" s="1"/>
      <c r="M16" s="1"/>
      <c r="N16" s="1"/>
      <c r="O16" s="29"/>
    </row>
    <row r="17" spans="3:15" ht="17.25" x14ac:dyDescent="0.3">
      <c r="C17" s="28"/>
      <c r="O17" s="14"/>
    </row>
    <row r="18" spans="3:15" ht="17.25" x14ac:dyDescent="0.3">
      <c r="C18" s="23" t="s">
        <v>6</v>
      </c>
      <c r="D18" s="122">
        <v>255200</v>
      </c>
      <c r="E18" s="122">
        <v>197700</v>
      </c>
      <c r="F18" s="122">
        <v>175400</v>
      </c>
      <c r="G18" s="122">
        <v>192300</v>
      </c>
      <c r="H18" s="122">
        <v>215200</v>
      </c>
      <c r="I18" s="27"/>
      <c r="J18" s="120">
        <f>H18*(1+$I$12)</f>
        <v>244067.70431868656</v>
      </c>
      <c r="K18" s="120">
        <f t="shared" ref="K18:O19" si="8">J18*(1+$I$12)</f>
        <v>276807.82663287089</v>
      </c>
      <c r="L18" s="120">
        <f t="shared" si="8"/>
        <v>313939.82706194138</v>
      </c>
      <c r="M18" s="120">
        <f t="shared" si="8"/>
        <v>356052.84797961666</v>
      </c>
      <c r="N18" s="120">
        <f t="shared" si="8"/>
        <v>403815.06144291512</v>
      </c>
      <c r="O18" s="121">
        <f t="shared" si="8"/>
        <v>457984.27051896678</v>
      </c>
    </row>
    <row r="19" spans="3:15" ht="17.25" x14ac:dyDescent="0.3">
      <c r="C19" s="23" t="s">
        <v>7</v>
      </c>
      <c r="D19" s="122">
        <v>26110</v>
      </c>
      <c r="E19" s="122">
        <v>25810</v>
      </c>
      <c r="F19" s="122">
        <v>62800</v>
      </c>
      <c r="G19" s="122">
        <v>110000</v>
      </c>
      <c r="H19" s="122">
        <v>122800</v>
      </c>
      <c r="I19" s="27"/>
      <c r="J19" s="120">
        <f>H19*(1+$I$12)</f>
        <v>139272.83499226166</v>
      </c>
      <c r="K19" s="120">
        <f t="shared" si="8"/>
        <v>157955.39549496534</v>
      </c>
      <c r="L19" s="120">
        <f t="shared" si="8"/>
        <v>179144.10205950929</v>
      </c>
      <c r="M19" s="120">
        <f t="shared" si="8"/>
        <v>203175.13815937232</v>
      </c>
      <c r="N19" s="120">
        <f t="shared" si="8"/>
        <v>230429.78413192366</v>
      </c>
      <c r="O19" s="121">
        <f t="shared" si="8"/>
        <v>261340.46663442897</v>
      </c>
    </row>
    <row r="20" spans="3:15" ht="18" thickBot="1" x14ac:dyDescent="0.35">
      <c r="C20" s="31" t="s">
        <v>40</v>
      </c>
      <c r="D20" s="32"/>
      <c r="E20" s="32"/>
      <c r="F20" s="33"/>
      <c r="G20" s="123">
        <f>SCHEDULES!I28</f>
        <v>149070</v>
      </c>
      <c r="H20" s="123">
        <f>SCHEDULES!J28</f>
        <v>-212210</v>
      </c>
      <c r="I20" s="124"/>
      <c r="J20" s="123">
        <f>SCHEDULES!K28</f>
        <v>48997.313934385747</v>
      </c>
      <c r="K20" s="125">
        <f>SCHEDULES!L28</f>
        <v>-56222.881595787796</v>
      </c>
      <c r="L20" s="124">
        <f>SCHEDULES!M28</f>
        <v>-59096.574318392726</v>
      </c>
      <c r="M20" s="124">
        <f>SCHEDULES!N28</f>
        <v>-65861.906308288861</v>
      </c>
      <c r="N20" s="124">
        <f>SCHEDULES!O28</f>
        <v>-73435.986204315501</v>
      </c>
      <c r="O20" s="126">
        <f>SCHEDULES!P28</f>
        <v>-73435.986204315501</v>
      </c>
    </row>
    <row r="21" spans="3:15" ht="17.25" x14ac:dyDescent="0.3">
      <c r="C21" s="9"/>
    </row>
    <row r="22" spans="3:15" ht="17.25" x14ac:dyDescent="0.3">
      <c r="C22" s="9"/>
    </row>
    <row r="23" spans="3:15" ht="18" thickBot="1" x14ac:dyDescent="0.35">
      <c r="C23" s="9"/>
    </row>
    <row r="24" spans="3:15" ht="17.25" x14ac:dyDescent="0.3">
      <c r="C24" s="36" t="s">
        <v>10</v>
      </c>
      <c r="D24" s="128">
        <f>NPV(H31,J24:M24,N25)</f>
        <v>12028657.109003775</v>
      </c>
      <c r="G24" s="38"/>
      <c r="H24" s="39"/>
      <c r="I24" s="79" t="s">
        <v>8</v>
      </c>
      <c r="J24" s="127">
        <f>J14*(1-I16)+J18-J19-J20</f>
        <v>575947.98074295069</v>
      </c>
      <c r="K24" s="127">
        <f t="shared" ref="K24:N24" si="9">K14*(1-J16)+K18-K19-K20</f>
        <v>864533.48273369321</v>
      </c>
      <c r="L24" s="127">
        <f t="shared" si="9"/>
        <v>924246.97137082508</v>
      </c>
      <c r="M24" s="127">
        <f t="shared" si="9"/>
        <v>991873.32308678422</v>
      </c>
      <c r="N24" s="127">
        <f t="shared" si="9"/>
        <v>1064633.1232495692</v>
      </c>
      <c r="O24" s="128">
        <f>O14*(1-N16)+O18-O19-O20</f>
        <v>1134474.0064766977</v>
      </c>
    </row>
    <row r="25" spans="3:15" ht="17.25" x14ac:dyDescent="0.3">
      <c r="C25" s="23" t="s">
        <v>11</v>
      </c>
      <c r="D25" s="132">
        <v>716410</v>
      </c>
      <c r="G25" s="11"/>
      <c r="H25" t="s">
        <v>89</v>
      </c>
      <c r="N25" s="129">
        <f>N24+K32</f>
        <v>14850305.116080508</v>
      </c>
      <c r="O25" s="40"/>
    </row>
    <row r="26" spans="3:15" ht="17.25" x14ac:dyDescent="0.3">
      <c r="C26" s="23" t="s">
        <v>12</v>
      </c>
      <c r="D26" s="132">
        <v>3750000</v>
      </c>
      <c r="G26" s="11"/>
      <c r="O26" s="14"/>
    </row>
    <row r="27" spans="3:15" ht="17.25" x14ac:dyDescent="0.3">
      <c r="C27" s="23" t="s">
        <v>13</v>
      </c>
      <c r="D27" s="133">
        <f>D24+D25-D26</f>
        <v>8995067.1090037748</v>
      </c>
      <c r="G27" s="11"/>
      <c r="O27" s="14"/>
    </row>
    <row r="28" spans="3:15" ht="17.25" x14ac:dyDescent="0.3">
      <c r="C28" s="28" t="s">
        <v>14</v>
      </c>
      <c r="D28" s="106">
        <v>1444854</v>
      </c>
      <c r="G28" s="11"/>
      <c r="O28" s="14"/>
    </row>
    <row r="29" spans="3:15" ht="17.25" x14ac:dyDescent="0.3">
      <c r="C29" s="23" t="s">
        <v>15</v>
      </c>
      <c r="D29" s="107">
        <f>D27/D28</f>
        <v>6.2255889584717732</v>
      </c>
      <c r="G29" s="11" t="s">
        <v>9</v>
      </c>
      <c r="H29" s="89">
        <f>ASSUMPTIONS!G10</f>
        <v>8</v>
      </c>
      <c r="I29" s="4"/>
      <c r="J29" t="s">
        <v>59</v>
      </c>
      <c r="K29" s="1">
        <f>H29*O24</f>
        <v>9075792.051813582</v>
      </c>
      <c r="O29" s="14"/>
    </row>
    <row r="30" spans="3:15" ht="17.25" x14ac:dyDescent="0.3">
      <c r="C30" s="28" t="s">
        <v>25</v>
      </c>
      <c r="D30" s="77">
        <v>2.65</v>
      </c>
      <c r="G30" s="11" t="s">
        <v>61</v>
      </c>
      <c r="H30" s="102">
        <f>ASSUMPTIONS!G11</f>
        <v>2.4E-2</v>
      </c>
      <c r="J30" t="s">
        <v>60</v>
      </c>
      <c r="K30" s="1">
        <f>O24/(H31-H30)</f>
        <v>15772814.318304216</v>
      </c>
      <c r="O30" s="14"/>
    </row>
    <row r="31" spans="3:15" ht="18" thickBot="1" x14ac:dyDescent="0.35">
      <c r="C31" s="37" t="s">
        <v>26</v>
      </c>
      <c r="D31" s="78">
        <f>D29/D30-1</f>
        <v>1.3492788522534993</v>
      </c>
      <c r="G31" s="11" t="s">
        <v>21</v>
      </c>
      <c r="H31" s="104">
        <f>WACC!G22</f>
        <v>9.5925908945758045E-2</v>
      </c>
      <c r="O31" s="14"/>
    </row>
    <row r="32" spans="3:15" ht="15.75" thickBot="1" x14ac:dyDescent="0.3">
      <c r="G32" s="15"/>
      <c r="H32" s="33"/>
      <c r="I32" s="33"/>
      <c r="J32" s="33" t="s">
        <v>62</v>
      </c>
      <c r="K32" s="34">
        <f>(K29*65+K30*50)/100</f>
        <v>13785671.992830938</v>
      </c>
      <c r="L32" s="33"/>
      <c r="M32" s="33"/>
      <c r="N32" s="33"/>
      <c r="O32" s="41"/>
    </row>
    <row r="33" spans="4:13" x14ac:dyDescent="0.25">
      <c r="K33" s="134"/>
    </row>
    <row r="34" spans="4:13" x14ac:dyDescent="0.25">
      <c r="D34" s="8"/>
      <c r="E34" s="8"/>
      <c r="F34" s="8"/>
      <c r="G34" s="8"/>
      <c r="J34" s="8"/>
      <c r="K34" s="8"/>
      <c r="L34" s="8"/>
      <c r="M34" s="8"/>
    </row>
    <row r="56" spans="4:4" ht="17.25" x14ac:dyDescent="0.3">
      <c r="D56" s="9"/>
    </row>
    <row r="66" spans="4:7" x14ac:dyDescent="0.25">
      <c r="D66" s="8"/>
      <c r="E66" s="8"/>
      <c r="F66" s="5"/>
      <c r="G66" s="8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AC58-C5F9-4FD8-9B55-59F240130EB1}">
  <dimension ref="F3:G11"/>
  <sheetViews>
    <sheetView workbookViewId="0">
      <selection activeCell="G7" sqref="G7"/>
    </sheetView>
  </sheetViews>
  <sheetFormatPr defaultRowHeight="15" x14ac:dyDescent="0.25"/>
  <cols>
    <col min="6" max="6" width="38.28515625" customWidth="1"/>
    <col min="7" max="7" width="10" bestFit="1" customWidth="1"/>
  </cols>
  <sheetData>
    <row r="3" spans="6:7" ht="15.75" thickBot="1" x14ac:dyDescent="0.3"/>
    <row r="4" spans="6:7" ht="18" thickBot="1" x14ac:dyDescent="0.35">
      <c r="F4" s="72" t="s">
        <v>75</v>
      </c>
      <c r="G4" s="73"/>
    </row>
    <row r="5" spans="6:7" ht="17.25" x14ac:dyDescent="0.3">
      <c r="F5" s="28" t="s">
        <v>76</v>
      </c>
      <c r="G5" s="86">
        <f>FCF!I7</f>
        <v>0.24869221729045837</v>
      </c>
    </row>
    <row r="6" spans="6:7" ht="17.25" x14ac:dyDescent="0.3">
      <c r="F6" s="70" t="s">
        <v>79</v>
      </c>
      <c r="G6" s="87">
        <v>8.5000000000000006E-2</v>
      </c>
    </row>
    <row r="7" spans="6:7" ht="17.25" x14ac:dyDescent="0.3">
      <c r="F7" s="28" t="s">
        <v>77</v>
      </c>
      <c r="G7" s="86">
        <f>FCF!I12</f>
        <v>0.13414360742884088</v>
      </c>
    </row>
    <row r="8" spans="6:7" ht="17.25" x14ac:dyDescent="0.3">
      <c r="F8" s="70" t="s">
        <v>78</v>
      </c>
      <c r="G8" s="87">
        <v>0.09</v>
      </c>
    </row>
    <row r="9" spans="6:7" ht="17.25" x14ac:dyDescent="0.3">
      <c r="F9" s="70" t="s">
        <v>80</v>
      </c>
      <c r="G9" s="86">
        <f>FCF!I16+5%</f>
        <v>0.25028285602349271</v>
      </c>
    </row>
    <row r="10" spans="6:7" ht="17.25" x14ac:dyDescent="0.3">
      <c r="F10" s="70" t="s">
        <v>81</v>
      </c>
      <c r="G10" s="88">
        <v>8</v>
      </c>
    </row>
    <row r="11" spans="6:7" ht="18" thickBot="1" x14ac:dyDescent="0.35">
      <c r="F11" s="71" t="s">
        <v>82</v>
      </c>
      <c r="G11" s="103">
        <v>2.4E-2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B4:L24"/>
  <sheetViews>
    <sheetView workbookViewId="0">
      <selection activeCell="G20" sqref="G20"/>
    </sheetView>
  </sheetViews>
  <sheetFormatPr defaultRowHeight="15" x14ac:dyDescent="0.25"/>
  <cols>
    <col min="1" max="1" width="12.140625" bestFit="1" customWidth="1"/>
    <col min="6" max="6" width="27.7109375" customWidth="1"/>
    <col min="7" max="7" width="16" customWidth="1"/>
  </cols>
  <sheetData>
    <row r="4" spans="2:12" x14ac:dyDescent="0.25">
      <c r="B4" s="6"/>
    </row>
    <row r="10" spans="2:12" x14ac:dyDescent="0.25">
      <c r="K10" s="6"/>
      <c r="L10" s="4"/>
    </row>
    <row r="11" spans="2:12" ht="15.75" thickBot="1" x14ac:dyDescent="0.3">
      <c r="K11" s="2"/>
    </row>
    <row r="12" spans="2:12" x14ac:dyDescent="0.25">
      <c r="F12" s="80" t="s">
        <v>70</v>
      </c>
      <c r="G12" s="81"/>
    </row>
    <row r="13" spans="2:12" x14ac:dyDescent="0.25">
      <c r="F13" s="10" t="s">
        <v>16</v>
      </c>
      <c r="G13" s="93">
        <f>G16+(G15*G14)</f>
        <v>0.12248000000000001</v>
      </c>
    </row>
    <row r="14" spans="2:12" x14ac:dyDescent="0.25">
      <c r="F14" s="11" t="s">
        <v>17</v>
      </c>
      <c r="G14" s="12">
        <v>4.8000000000000001E-2</v>
      </c>
    </row>
    <row r="15" spans="2:12" x14ac:dyDescent="0.25">
      <c r="F15" s="11" t="s">
        <v>18</v>
      </c>
      <c r="G15" s="13">
        <v>1.66</v>
      </c>
    </row>
    <row r="16" spans="2:12" x14ac:dyDescent="0.25">
      <c r="D16" s="7"/>
      <c r="E16" s="3"/>
      <c r="F16" s="16" t="s">
        <v>19</v>
      </c>
      <c r="G16" s="17">
        <v>4.2799999999999998E-2</v>
      </c>
    </row>
    <row r="17" spans="5:7" x14ac:dyDescent="0.25">
      <c r="E17" s="3"/>
      <c r="F17" s="11"/>
      <c r="G17" s="94"/>
    </row>
    <row r="18" spans="5:7" x14ac:dyDescent="0.25">
      <c r="E18" s="3"/>
      <c r="F18" s="18" t="s">
        <v>20</v>
      </c>
      <c r="G18" s="95">
        <f>G19*(1-G20)</f>
        <v>4.1234442918707905E-2</v>
      </c>
    </row>
    <row r="19" spans="5:7" x14ac:dyDescent="0.25">
      <c r="F19" s="11" t="s">
        <v>24</v>
      </c>
      <c r="G19" s="12">
        <v>5.5E-2</v>
      </c>
    </row>
    <row r="20" spans="5:7" x14ac:dyDescent="0.25">
      <c r="F20" s="16" t="s">
        <v>5</v>
      </c>
      <c r="G20" s="97">
        <f>ASSUMPTIONS!G9</f>
        <v>0.25028285602349271</v>
      </c>
    </row>
    <row r="21" spans="5:7" x14ac:dyDescent="0.25">
      <c r="F21" s="11"/>
      <c r="G21" s="94"/>
    </row>
    <row r="22" spans="5:7" x14ac:dyDescent="0.25">
      <c r="F22" s="18" t="s">
        <v>21</v>
      </c>
      <c r="G22" s="105">
        <f>(G23*G13)+(G24*G18)*(1-G20)</f>
        <v>9.5925908945758045E-2</v>
      </c>
    </row>
    <row r="23" spans="5:7" x14ac:dyDescent="0.25">
      <c r="F23" s="11" t="s">
        <v>22</v>
      </c>
      <c r="G23" s="96">
        <v>0.71</v>
      </c>
    </row>
    <row r="24" spans="5:7" ht="15.75" thickBot="1" x14ac:dyDescent="0.3">
      <c r="F24" s="15" t="s">
        <v>23</v>
      </c>
      <c r="G24" s="98">
        <f>1-G23</f>
        <v>0.29000000000000004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AAAA-9EB6-4823-9579-2E718701566C}">
  <dimension ref="D2:P28"/>
  <sheetViews>
    <sheetView topLeftCell="G4" workbookViewId="0">
      <selection activeCell="I39" sqref="I39"/>
    </sheetView>
  </sheetViews>
  <sheetFormatPr defaultRowHeight="15" x14ac:dyDescent="0.25"/>
  <cols>
    <col min="4" max="16" width="13.7109375" customWidth="1"/>
    <col min="21" max="21" width="11.7109375" customWidth="1"/>
  </cols>
  <sheetData>
    <row r="2" spans="4:16" ht="15.75" thickBot="1" x14ac:dyDescent="0.3"/>
    <row r="3" spans="4:16" ht="15" customHeight="1" x14ac:dyDescent="0.25">
      <c r="D3" s="135" t="s">
        <v>66</v>
      </c>
      <c r="E3" s="136"/>
      <c r="F3" s="136"/>
      <c r="G3" s="39"/>
      <c r="H3" s="82" t="s">
        <v>57</v>
      </c>
      <c r="I3" s="82" t="s">
        <v>58</v>
      </c>
      <c r="J3" s="82" t="s">
        <v>87</v>
      </c>
      <c r="K3" s="82" t="s">
        <v>53</v>
      </c>
      <c r="L3" s="82" t="s">
        <v>54</v>
      </c>
      <c r="M3" s="82" t="s">
        <v>55</v>
      </c>
      <c r="N3" s="82" t="s">
        <v>56</v>
      </c>
      <c r="O3" s="82" t="s">
        <v>88</v>
      </c>
      <c r="P3" s="83" t="s">
        <v>67</v>
      </c>
    </row>
    <row r="4" spans="4:16" ht="21" x14ac:dyDescent="0.3">
      <c r="D4" s="49"/>
      <c r="E4" s="42"/>
      <c r="F4" s="43"/>
      <c r="G4" s="43"/>
      <c r="H4" s="43"/>
      <c r="I4" s="43"/>
      <c r="J4" s="43"/>
      <c r="K4" s="44"/>
      <c r="L4" s="44"/>
      <c r="M4" s="44"/>
      <c r="N4" s="44"/>
      <c r="O4" s="44"/>
      <c r="P4" s="14"/>
    </row>
    <row r="5" spans="4:16" ht="15.75" x14ac:dyDescent="0.3">
      <c r="D5" s="50" t="s">
        <v>43</v>
      </c>
      <c r="E5" s="45"/>
      <c r="F5" s="46"/>
      <c r="G5" s="47"/>
      <c r="H5" s="68">
        <v>365</v>
      </c>
      <c r="I5" s="68">
        <v>365</v>
      </c>
      <c r="J5" s="68">
        <v>365</v>
      </c>
      <c r="K5" s="68">
        <v>365</v>
      </c>
      <c r="L5" s="68">
        <v>365</v>
      </c>
      <c r="M5" s="68">
        <v>365</v>
      </c>
      <c r="N5" s="68">
        <v>365</v>
      </c>
      <c r="O5" s="68">
        <v>365</v>
      </c>
      <c r="P5" s="14"/>
    </row>
    <row r="6" spans="4:16" ht="15.75" x14ac:dyDescent="0.3">
      <c r="D6" s="50" t="s">
        <v>44</v>
      </c>
      <c r="E6" s="47"/>
      <c r="F6" s="47"/>
      <c r="G6" s="47"/>
      <c r="H6" s="100">
        <f>FCF!F6</f>
        <v>2879000</v>
      </c>
      <c r="I6" s="61">
        <f>FCF!G6</f>
        <v>3682000</v>
      </c>
      <c r="J6" s="61">
        <f>FCF!H6</f>
        <v>3594000</v>
      </c>
      <c r="K6" s="63">
        <f>FCF!J6</f>
        <v>3899490</v>
      </c>
      <c r="L6" s="63">
        <f>FCF!K6</f>
        <v>4230946.6500000004</v>
      </c>
      <c r="M6" s="63">
        <f>FCF!L6</f>
        <v>4590577.1152500007</v>
      </c>
      <c r="N6" s="63">
        <f>FCF!M6</f>
        <v>4980776.1700462513</v>
      </c>
      <c r="O6" s="63">
        <f>FCF!N6</f>
        <v>5404142.1445001829</v>
      </c>
      <c r="P6" s="14"/>
    </row>
    <row r="7" spans="4:16" ht="15.75" x14ac:dyDescent="0.3">
      <c r="D7" s="50" t="s">
        <v>2</v>
      </c>
      <c r="E7" s="47"/>
      <c r="F7" s="47"/>
      <c r="G7" s="47"/>
      <c r="H7" s="100">
        <f>FCF!F9</f>
        <v>1274000</v>
      </c>
      <c r="I7" s="61">
        <f>FCF!G9</f>
        <v>1499600</v>
      </c>
      <c r="J7" s="61">
        <f>FCF!H9</f>
        <v>1441500</v>
      </c>
      <c r="K7" s="63">
        <f>FCF!J9</f>
        <v>1441500</v>
      </c>
      <c r="L7" s="63">
        <f>FCF!K9</f>
        <v>1634868.0101086742</v>
      </c>
      <c r="M7" s="63">
        <f>FCF!L9</f>
        <v>1854175.1026546624</v>
      </c>
      <c r="N7" s="63">
        <f>FCF!M9</f>
        <v>2102900.8397295</v>
      </c>
      <c r="O7" s="101">
        <f>FCF!N9</f>
        <v>2384991.5444359537</v>
      </c>
      <c r="P7" s="14"/>
    </row>
    <row r="8" spans="4:16" ht="16.5" x14ac:dyDescent="0.3">
      <c r="D8" s="51"/>
      <c r="E8" s="52"/>
      <c r="F8" s="47"/>
      <c r="G8" s="47"/>
      <c r="H8" s="47"/>
      <c r="I8" s="47"/>
      <c r="J8" s="47"/>
      <c r="K8" s="53"/>
      <c r="L8" s="53"/>
      <c r="M8" s="53"/>
      <c r="N8" s="53"/>
      <c r="O8" s="53"/>
      <c r="P8" s="14"/>
    </row>
    <row r="9" spans="4:16" ht="16.5" x14ac:dyDescent="0.3">
      <c r="D9" s="51"/>
      <c r="E9" s="52"/>
      <c r="F9" s="47"/>
      <c r="G9" s="47"/>
      <c r="H9" s="47"/>
      <c r="I9" s="47"/>
      <c r="J9" s="47"/>
      <c r="K9" s="53"/>
      <c r="L9" s="53"/>
      <c r="M9" s="53"/>
      <c r="N9" s="53"/>
      <c r="O9" s="53"/>
      <c r="P9" s="14"/>
    </row>
    <row r="10" spans="4:16" ht="15.75" x14ac:dyDescent="0.3">
      <c r="D10" s="54" t="s">
        <v>45</v>
      </c>
      <c r="E10" s="52"/>
      <c r="F10" s="47"/>
      <c r="G10" s="47"/>
      <c r="H10" s="47"/>
      <c r="I10" s="47"/>
      <c r="J10" s="47"/>
      <c r="K10" s="53"/>
      <c r="L10" s="53"/>
      <c r="M10" s="53"/>
      <c r="N10" s="53"/>
      <c r="O10" s="53"/>
      <c r="P10" s="14"/>
    </row>
    <row r="11" spans="4:16" ht="15.75" x14ac:dyDescent="0.3">
      <c r="D11" s="55" t="s">
        <v>46</v>
      </c>
      <c r="E11" s="47"/>
      <c r="F11" s="46" t="s">
        <v>47</v>
      </c>
      <c r="G11" s="46"/>
      <c r="H11" s="56">
        <f>SCHEDULES!H17/SCHEDULES!H6*SCHEDULES!H5</f>
        <v>17.875998610628688</v>
      </c>
      <c r="I11" s="56">
        <f>SCHEDULES!I17/SCHEDULES!I6*SCHEDULES!I5</f>
        <v>20.434845192829986</v>
      </c>
      <c r="J11" s="56">
        <f>SCHEDULES!J17/SCHEDULES!J6*SCHEDULES!J5</f>
        <v>32.498608792431831</v>
      </c>
      <c r="K11" s="56">
        <f>AVERAGE(H11:J11)</f>
        <v>23.603150865296836</v>
      </c>
      <c r="L11" s="56">
        <v>24</v>
      </c>
      <c r="M11" s="56">
        <v>24</v>
      </c>
      <c r="N11" s="56">
        <v>24</v>
      </c>
      <c r="O11" s="56">
        <v>24</v>
      </c>
      <c r="P11" s="14"/>
    </row>
    <row r="12" spans="4:16" ht="15.75" x14ac:dyDescent="0.3">
      <c r="D12" s="55" t="s">
        <v>48</v>
      </c>
      <c r="E12" s="47"/>
      <c r="F12" s="46" t="s">
        <v>47</v>
      </c>
      <c r="G12" s="46"/>
      <c r="H12" s="56">
        <f>(H18/H7)*H5</f>
        <v>196.53846153846152</v>
      </c>
      <c r="I12" s="56">
        <f t="shared" ref="I12:J12" si="0">(I18/I7)*I5</f>
        <v>169.33458922379302</v>
      </c>
      <c r="J12" s="56">
        <f t="shared" si="0"/>
        <v>181.17065556711759</v>
      </c>
      <c r="K12" s="56">
        <f t="shared" ref="K12:K13" si="1">AVERAGE(H12:J12)</f>
        <v>182.34790210979068</v>
      </c>
      <c r="L12" s="56">
        <v>182</v>
      </c>
      <c r="M12" s="56">
        <v>182</v>
      </c>
      <c r="N12" s="56">
        <v>182</v>
      </c>
      <c r="O12" s="56">
        <v>182</v>
      </c>
      <c r="P12" s="14"/>
    </row>
    <row r="13" spans="4:16" ht="15.75" x14ac:dyDescent="0.3">
      <c r="D13" s="55" t="s">
        <v>49</v>
      </c>
      <c r="E13" s="47"/>
      <c r="F13" s="46" t="s">
        <v>47</v>
      </c>
      <c r="G13" s="46"/>
      <c r="H13" s="56">
        <f>(H19/H7)*H5</f>
        <v>101.67857142857143</v>
      </c>
      <c r="I13" s="56">
        <f t="shared" ref="I13:J13" si="2">(I19/I7)*I5</f>
        <v>140.88376900506802</v>
      </c>
      <c r="J13" s="56">
        <f t="shared" si="2"/>
        <v>126.67006590357268</v>
      </c>
      <c r="K13" s="56">
        <f t="shared" si="1"/>
        <v>123.07746877907071</v>
      </c>
      <c r="L13" s="56">
        <v>123</v>
      </c>
      <c r="M13" s="56">
        <v>123</v>
      </c>
      <c r="N13" s="56">
        <v>123</v>
      </c>
      <c r="O13" s="56">
        <v>123</v>
      </c>
      <c r="P13" s="14"/>
    </row>
    <row r="14" spans="4:16" ht="16.5" x14ac:dyDescent="0.3">
      <c r="D14" s="51"/>
      <c r="E14" s="47"/>
      <c r="F14" s="57"/>
      <c r="G14" s="57"/>
      <c r="H14" s="58"/>
      <c r="I14" s="59"/>
      <c r="J14" s="59"/>
      <c r="K14" s="60"/>
      <c r="L14" s="60"/>
      <c r="M14" s="60"/>
      <c r="N14" s="60"/>
      <c r="O14" s="60"/>
      <c r="P14" s="14"/>
    </row>
    <row r="15" spans="4:16" ht="16.5" x14ac:dyDescent="0.3">
      <c r="D15" s="51"/>
      <c r="E15" s="47"/>
      <c r="F15" s="57"/>
      <c r="G15" s="57"/>
      <c r="H15" s="58"/>
      <c r="I15" s="59"/>
      <c r="J15" s="59"/>
      <c r="K15" s="60"/>
      <c r="L15" s="60"/>
      <c r="M15" s="60"/>
      <c r="N15" s="60"/>
      <c r="O15" s="60"/>
      <c r="P15" s="14"/>
    </row>
    <row r="16" spans="4:16" ht="15.75" x14ac:dyDescent="0.3">
      <c r="D16" s="54" t="s">
        <v>50</v>
      </c>
      <c r="E16" s="52"/>
      <c r="F16" s="47"/>
      <c r="G16" s="47"/>
      <c r="H16" s="47"/>
      <c r="I16" s="47"/>
      <c r="J16" s="47"/>
      <c r="K16" s="53"/>
      <c r="L16" s="53"/>
      <c r="M16" s="53"/>
      <c r="N16" s="53"/>
      <c r="O16" s="53"/>
      <c r="P16" s="14"/>
    </row>
    <row r="17" spans="4:16" ht="15.75" x14ac:dyDescent="0.3">
      <c r="D17" s="55" t="s">
        <v>46</v>
      </c>
      <c r="E17" s="47"/>
      <c r="F17" s="47"/>
      <c r="G17" s="61"/>
      <c r="H17" s="61">
        <v>141000</v>
      </c>
      <c r="I17" s="61">
        <v>206140</v>
      </c>
      <c r="J17" s="61">
        <v>320000</v>
      </c>
      <c r="K17" s="62">
        <f>(K11/K5)*K6</f>
        <v>252165.07059648316</v>
      </c>
      <c r="L17" s="63">
        <f t="shared" ref="L17:O17" si="3">(L11/L5)*L6</f>
        <v>278199.23178082192</v>
      </c>
      <c r="M17" s="63">
        <f t="shared" si="3"/>
        <v>301846.16648219182</v>
      </c>
      <c r="N17" s="63">
        <f t="shared" si="3"/>
        <v>327503.09063317813</v>
      </c>
      <c r="O17" s="63">
        <f t="shared" si="3"/>
        <v>355340.85333699832</v>
      </c>
      <c r="P17" s="14"/>
    </row>
    <row r="18" spans="4:16" ht="15.75" x14ac:dyDescent="0.3">
      <c r="D18" s="55" t="s">
        <v>48</v>
      </c>
      <c r="E18" s="47"/>
      <c r="F18" s="47"/>
      <c r="G18" s="61"/>
      <c r="H18" s="61">
        <v>686000</v>
      </c>
      <c r="I18" s="61">
        <v>695710</v>
      </c>
      <c r="J18" s="61">
        <v>715500</v>
      </c>
      <c r="K18" s="62">
        <f>(K12/K5)*K7</f>
        <v>720149.31751031033</v>
      </c>
      <c r="L18" s="63">
        <f t="shared" ref="L18:O18" si="4">(L12/L5)*L7</f>
        <v>815194.45983501012</v>
      </c>
      <c r="M18" s="63">
        <f t="shared" si="4"/>
        <v>924547.5854332837</v>
      </c>
      <c r="N18" s="63">
        <f t="shared" si="4"/>
        <v>1048569.7337829288</v>
      </c>
      <c r="O18" s="63">
        <f t="shared" si="4"/>
        <v>1189228.6605132702</v>
      </c>
      <c r="P18" s="14"/>
    </row>
    <row r="19" spans="4:16" ht="15.75" x14ac:dyDescent="0.3">
      <c r="D19" s="55" t="s">
        <v>49</v>
      </c>
      <c r="E19" s="47"/>
      <c r="F19" s="47"/>
      <c r="G19" s="61"/>
      <c r="H19" s="61">
        <v>354900</v>
      </c>
      <c r="I19" s="61">
        <v>578820</v>
      </c>
      <c r="J19" s="61">
        <v>500260</v>
      </c>
      <c r="K19" s="62">
        <f>(K13/K5)*K7</f>
        <v>486071.70204117923</v>
      </c>
      <c r="L19" s="63">
        <f t="shared" ref="L19:O19" si="5">(L13/L5)*L7</f>
        <v>550928.12395442999</v>
      </c>
      <c r="M19" s="63">
        <f t="shared" si="5"/>
        <v>624831.60993568075</v>
      </c>
      <c r="N19" s="63">
        <f t="shared" si="5"/>
        <v>708648.77612802328</v>
      </c>
      <c r="O19" s="63">
        <f t="shared" si="5"/>
        <v>803709.47935786936</v>
      </c>
      <c r="P19" s="14"/>
    </row>
    <row r="20" spans="4:16" ht="16.5" x14ac:dyDescent="0.3">
      <c r="D20" s="51"/>
      <c r="E20" s="52"/>
      <c r="F20" s="47"/>
      <c r="G20" s="47"/>
      <c r="H20" s="47"/>
      <c r="I20" s="47"/>
      <c r="J20" s="47"/>
      <c r="K20" s="53"/>
      <c r="L20" s="53"/>
      <c r="M20" s="53"/>
      <c r="N20" s="53"/>
      <c r="O20" s="53"/>
      <c r="P20" s="14"/>
    </row>
    <row r="21" spans="4:16" ht="16.5" x14ac:dyDescent="0.3">
      <c r="D21" s="51"/>
      <c r="E21" s="52"/>
      <c r="F21" s="47"/>
      <c r="G21" s="47"/>
      <c r="H21" s="47"/>
      <c r="I21" s="47"/>
      <c r="J21" s="47"/>
      <c r="K21" s="53"/>
      <c r="L21" s="53"/>
      <c r="M21" s="53"/>
      <c r="N21" s="53"/>
      <c r="O21" s="53"/>
      <c r="P21" s="14"/>
    </row>
    <row r="22" spans="4:16" ht="16.5" x14ac:dyDescent="0.3">
      <c r="D22" s="51"/>
      <c r="E22" s="52"/>
      <c r="F22" s="47"/>
      <c r="G22" s="47"/>
      <c r="H22" s="47"/>
      <c r="I22" s="47"/>
      <c r="J22" s="47"/>
      <c r="K22" s="53"/>
      <c r="L22" s="53"/>
      <c r="M22" s="53"/>
      <c r="N22" s="53"/>
      <c r="O22" s="53"/>
      <c r="P22" s="14"/>
    </row>
    <row r="23" spans="4:16" ht="16.5" x14ac:dyDescent="0.3">
      <c r="D23" s="51"/>
      <c r="E23" s="52"/>
      <c r="F23" s="47"/>
      <c r="G23" s="47"/>
      <c r="H23" s="47"/>
      <c r="I23" s="47"/>
      <c r="J23" s="47"/>
      <c r="K23" s="53"/>
      <c r="L23" s="53"/>
      <c r="M23" s="53"/>
      <c r="N23" s="53"/>
      <c r="O23" s="53"/>
      <c r="P23" s="14"/>
    </row>
    <row r="24" spans="4:16" ht="15.75" x14ac:dyDescent="0.3">
      <c r="D24" s="54" t="s">
        <v>51</v>
      </c>
      <c r="E24" s="52"/>
      <c r="F24" s="47"/>
      <c r="G24" s="47"/>
      <c r="H24" s="47"/>
      <c r="I24" s="64"/>
      <c r="J24" s="64"/>
      <c r="K24" s="64"/>
      <c r="L24" s="64"/>
      <c r="M24" s="64"/>
      <c r="N24" s="64"/>
      <c r="O24" s="64"/>
      <c r="P24" s="14"/>
    </row>
    <row r="25" spans="4:16" ht="15.75" x14ac:dyDescent="0.3">
      <c r="D25" s="55" t="s">
        <v>46</v>
      </c>
      <c r="E25" s="47"/>
      <c r="F25" s="47"/>
      <c r="G25" s="47"/>
      <c r="H25" s="65"/>
      <c r="I25" s="48">
        <f t="shared" ref="I25:O26" si="6">H17-I17</f>
        <v>-65140</v>
      </c>
      <c r="J25" s="48">
        <f t="shared" si="6"/>
        <v>-113860</v>
      </c>
      <c r="K25" s="48">
        <f t="shared" si="6"/>
        <v>67834.929403516842</v>
      </c>
      <c r="L25" s="48">
        <f t="shared" si="6"/>
        <v>-26034.161184338765</v>
      </c>
      <c r="M25" s="48">
        <f t="shared" si="6"/>
        <v>-23646.934701369901</v>
      </c>
      <c r="N25" s="48">
        <f t="shared" si="6"/>
        <v>-25656.924150986306</v>
      </c>
      <c r="O25" s="48">
        <f t="shared" si="6"/>
        <v>-27837.76270382019</v>
      </c>
      <c r="P25" s="14"/>
    </row>
    <row r="26" spans="4:16" ht="15.75" x14ac:dyDescent="0.3">
      <c r="D26" s="55" t="s">
        <v>48</v>
      </c>
      <c r="E26" s="47"/>
      <c r="F26" s="47"/>
      <c r="G26" s="47"/>
      <c r="H26" s="65"/>
      <c r="I26" s="48">
        <f t="shared" si="6"/>
        <v>-9710</v>
      </c>
      <c r="J26" s="48">
        <f t="shared" si="6"/>
        <v>-19790</v>
      </c>
      <c r="K26" s="48">
        <f>J18-K18</f>
        <v>-4649.3175103103276</v>
      </c>
      <c r="L26" s="48">
        <f>K18-L18</f>
        <v>-95045.142324699787</v>
      </c>
      <c r="M26" s="48">
        <f>L18-M18</f>
        <v>-109353.12559827359</v>
      </c>
      <c r="N26" s="48">
        <f>M18-N18</f>
        <v>-124022.14834964508</v>
      </c>
      <c r="O26" s="48">
        <f t="shared" si="6"/>
        <v>-140658.92673034139</v>
      </c>
      <c r="P26" s="14"/>
    </row>
    <row r="27" spans="4:16" ht="15.75" x14ac:dyDescent="0.3">
      <c r="D27" s="55" t="s">
        <v>49</v>
      </c>
      <c r="E27" s="47"/>
      <c r="F27" s="47"/>
      <c r="G27" s="47"/>
      <c r="H27" s="65"/>
      <c r="I27" s="48">
        <f>I19-H19</f>
        <v>223920</v>
      </c>
      <c r="J27" s="48">
        <f t="shared" ref="J27:O27" si="7">J19-I19</f>
        <v>-78560</v>
      </c>
      <c r="K27" s="48">
        <f t="shared" si="7"/>
        <v>-14188.297958820767</v>
      </c>
      <c r="L27" s="48">
        <f t="shared" si="7"/>
        <v>64856.421913250757</v>
      </c>
      <c r="M27" s="48">
        <f t="shared" si="7"/>
        <v>73903.485981250764</v>
      </c>
      <c r="N27" s="48">
        <f t="shared" si="7"/>
        <v>83817.166192342527</v>
      </c>
      <c r="O27" s="48">
        <f t="shared" si="7"/>
        <v>95060.703229846084</v>
      </c>
      <c r="P27" s="14"/>
    </row>
    <row r="28" spans="4:16" ht="16.5" thickBot="1" x14ac:dyDescent="0.35">
      <c r="D28" s="66" t="s">
        <v>52</v>
      </c>
      <c r="E28" s="67"/>
      <c r="F28" s="67"/>
      <c r="G28" s="67"/>
      <c r="H28" s="67"/>
      <c r="I28" s="69">
        <f>SUM(I25:I27)</f>
        <v>149070</v>
      </c>
      <c r="J28" s="69">
        <f t="shared" ref="J28:O28" si="8">SUM(J25:J27)</f>
        <v>-212210</v>
      </c>
      <c r="K28" s="69">
        <f t="shared" si="8"/>
        <v>48997.313934385747</v>
      </c>
      <c r="L28" s="69">
        <f t="shared" si="8"/>
        <v>-56222.881595787796</v>
      </c>
      <c r="M28" s="69">
        <f t="shared" si="8"/>
        <v>-59096.574318392726</v>
      </c>
      <c r="N28" s="69">
        <f t="shared" si="8"/>
        <v>-65861.906308288861</v>
      </c>
      <c r="O28" s="69">
        <f t="shared" si="8"/>
        <v>-73435.986204315501</v>
      </c>
      <c r="P28" s="35">
        <f>O28</f>
        <v>-73435.986204315501</v>
      </c>
    </row>
  </sheetData>
  <mergeCells count="1">
    <mergeCell ref="D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B3:O19"/>
  <sheetViews>
    <sheetView workbookViewId="0">
      <selection activeCell="M19" sqref="M19"/>
    </sheetView>
  </sheetViews>
  <sheetFormatPr defaultColWidth="15.7109375" defaultRowHeight="15" x14ac:dyDescent="0.25"/>
  <cols>
    <col min="1" max="1" width="20.7109375" customWidth="1"/>
    <col min="14" max="14" width="18.7109375" customWidth="1"/>
    <col min="15" max="15" width="18.28515625" customWidth="1"/>
  </cols>
  <sheetData>
    <row r="3" spans="2:13" ht="15.75" thickBot="1" x14ac:dyDescent="0.3"/>
    <row r="4" spans="2:13" x14ac:dyDescent="0.25">
      <c r="B4" s="108" t="s">
        <v>27</v>
      </c>
      <c r="C4" s="109" t="s">
        <v>29</v>
      </c>
      <c r="D4" s="109" t="s">
        <v>28</v>
      </c>
      <c r="E4" s="109" t="s">
        <v>32</v>
      </c>
      <c r="F4" s="109" t="s">
        <v>33</v>
      </c>
      <c r="G4" s="109" t="s">
        <v>34</v>
      </c>
      <c r="H4" s="109" t="s">
        <v>3</v>
      </c>
      <c r="I4" s="109" t="s">
        <v>35</v>
      </c>
      <c r="J4" s="109" t="s">
        <v>36</v>
      </c>
      <c r="K4" s="109" t="s">
        <v>37</v>
      </c>
      <c r="L4" s="109" t="s">
        <v>38</v>
      </c>
      <c r="M4" s="110" t="s">
        <v>39</v>
      </c>
    </row>
    <row r="5" spans="2:13" x14ac:dyDescent="0.25">
      <c r="B5" s="11" t="s">
        <v>90</v>
      </c>
      <c r="C5" s="115">
        <v>42.16</v>
      </c>
      <c r="D5" s="115">
        <v>6050000</v>
      </c>
      <c r="E5" s="115">
        <f>D5-828060+15060000</f>
        <v>20281940</v>
      </c>
      <c r="F5" s="115">
        <v>13760000</v>
      </c>
      <c r="G5" s="115">
        <v>2680000</v>
      </c>
      <c r="H5" s="115">
        <v>906980</v>
      </c>
      <c r="I5" s="114">
        <v>131260</v>
      </c>
      <c r="J5">
        <f>E5/F5</f>
        <v>1.4739781976744186</v>
      </c>
      <c r="K5">
        <f>E5/G5</f>
        <v>7.5678880597014926</v>
      </c>
      <c r="L5">
        <f>E5/H5</f>
        <v>22.3620587003021</v>
      </c>
      <c r="M5" s="14">
        <f>D5/I5</f>
        <v>46.091726344659456</v>
      </c>
    </row>
    <row r="6" spans="2:13" x14ac:dyDescent="0.25">
      <c r="B6" s="11" t="s">
        <v>91</v>
      </c>
      <c r="C6" s="116">
        <v>5.58</v>
      </c>
      <c r="D6" s="116">
        <v>169270</v>
      </c>
      <c r="E6" s="116">
        <f>D6-1302690+5710000</f>
        <v>4576580</v>
      </c>
      <c r="F6" s="116">
        <v>1180000</v>
      </c>
      <c r="G6" s="116">
        <v>102220</v>
      </c>
      <c r="H6" s="116">
        <v>52620</v>
      </c>
      <c r="I6" s="1">
        <v>-99000</v>
      </c>
      <c r="J6">
        <f t="shared" ref="J6:J8" si="0">E6/F6</f>
        <v>3.8784576271186442</v>
      </c>
      <c r="K6">
        <f t="shared" ref="K6:K8" si="1">E6/G6</f>
        <v>44.771864605752299</v>
      </c>
      <c r="L6">
        <f t="shared" ref="L6:L8" si="2">E6/H6</f>
        <v>86.974154313949072</v>
      </c>
      <c r="M6" s="14">
        <f t="shared" ref="M6:M8" si="3">D6/I6</f>
        <v>-1.7097979797979799</v>
      </c>
    </row>
    <row r="7" spans="2:13" x14ac:dyDescent="0.25">
      <c r="B7" s="11" t="s">
        <v>92</v>
      </c>
      <c r="C7" s="116">
        <v>23.43</v>
      </c>
      <c r="D7" s="116">
        <v>9130000</v>
      </c>
      <c r="E7" s="116">
        <f>D7-676000+9950000</f>
        <v>18404000</v>
      </c>
      <c r="F7" s="116">
        <v>9900000</v>
      </c>
      <c r="G7" s="116">
        <v>893500</v>
      </c>
      <c r="H7" s="116">
        <v>444990</v>
      </c>
      <c r="I7" s="1">
        <v>-322040</v>
      </c>
      <c r="J7">
        <f t="shared" si="0"/>
        <v>1.858989898989899</v>
      </c>
      <c r="K7">
        <f t="shared" si="1"/>
        <v>20.597649692221601</v>
      </c>
      <c r="L7">
        <f t="shared" si="2"/>
        <v>41.358232769275716</v>
      </c>
      <c r="M7" s="14">
        <f t="shared" si="3"/>
        <v>-28.350515463917525</v>
      </c>
    </row>
    <row r="8" spans="2:13" x14ac:dyDescent="0.25">
      <c r="B8" s="11" t="s">
        <v>93</v>
      </c>
      <c r="C8" s="116">
        <v>2.65</v>
      </c>
      <c r="D8" s="116">
        <v>3700000</v>
      </c>
      <c r="E8" s="116">
        <f>D8-716000+3750000</f>
        <v>6734000</v>
      </c>
      <c r="F8" s="116">
        <v>3610000</v>
      </c>
      <c r="G8" s="116">
        <v>836840</v>
      </c>
      <c r="H8" s="116">
        <v>620610</v>
      </c>
      <c r="I8" s="1">
        <v>381570</v>
      </c>
      <c r="J8">
        <f t="shared" si="0"/>
        <v>1.8653739612188365</v>
      </c>
      <c r="K8">
        <f t="shared" si="1"/>
        <v>8.0469384828641086</v>
      </c>
      <c r="L8">
        <f t="shared" si="2"/>
        <v>10.85061471777767</v>
      </c>
      <c r="M8" s="14">
        <f t="shared" si="3"/>
        <v>9.6967790968891681</v>
      </c>
    </row>
    <row r="9" spans="2:13" ht="15.75" thickBot="1" x14ac:dyDescent="0.3">
      <c r="B9" s="15"/>
      <c r="C9" s="117"/>
      <c r="D9" s="117"/>
      <c r="E9" s="117"/>
      <c r="F9" s="117"/>
      <c r="G9" s="117"/>
      <c r="H9" s="117"/>
      <c r="I9" s="34"/>
      <c r="J9" s="33"/>
      <c r="K9" s="33"/>
      <c r="L9" s="33"/>
      <c r="M9" s="41"/>
    </row>
    <row r="10" spans="2:13" x14ac:dyDescent="0.25">
      <c r="C10" s="1"/>
      <c r="D10" s="1"/>
      <c r="E10" s="1"/>
      <c r="F10" s="1"/>
      <c r="G10" s="1"/>
      <c r="H10" s="1"/>
      <c r="I10" s="1"/>
    </row>
    <row r="11" spans="2:13" x14ac:dyDescent="0.25">
      <c r="C11" s="1"/>
      <c r="D11" s="1"/>
      <c r="E11" s="1"/>
      <c r="F11" s="1"/>
      <c r="G11" s="1"/>
      <c r="H11" s="1"/>
      <c r="I11" s="1"/>
    </row>
    <row r="12" spans="2:13" x14ac:dyDescent="0.25">
      <c r="C12" s="1"/>
      <c r="D12" s="1"/>
      <c r="E12" s="1"/>
      <c r="F12" s="1"/>
      <c r="G12" s="1"/>
      <c r="H12" s="1"/>
      <c r="I12" s="1"/>
    </row>
    <row r="13" spans="2:13" x14ac:dyDescent="0.25">
      <c r="C13" s="1"/>
      <c r="D13" s="1"/>
      <c r="E13" s="1"/>
      <c r="F13" s="1"/>
      <c r="G13" s="1"/>
      <c r="H13" s="1"/>
      <c r="I13" s="1"/>
    </row>
    <row r="17" spans="2:15" ht="15.75" thickBot="1" x14ac:dyDescent="0.3"/>
    <row r="18" spans="2:15" ht="15.75" thickBot="1" x14ac:dyDescent="0.3">
      <c r="B18" s="108" t="s">
        <v>30</v>
      </c>
      <c r="C18" s="39"/>
      <c r="D18" s="39"/>
      <c r="E18" s="39"/>
      <c r="F18" s="39"/>
      <c r="G18" s="39"/>
      <c r="H18" s="39"/>
      <c r="I18" s="39"/>
      <c r="J18" s="79">
        <f>AVERAGE(J5,J7:J8)</f>
        <v>1.7327806859610515</v>
      </c>
      <c r="K18" s="79">
        <f>AVERAGE(K5,K8,K7)</f>
        <v>12.070825411595735</v>
      </c>
      <c r="L18" s="79">
        <f>AVERAGE(L5,L8,L7)</f>
        <v>24.856968729118496</v>
      </c>
      <c r="M18" s="111">
        <f>AVERAGE(M5,M8)</f>
        <v>27.894252720774311</v>
      </c>
      <c r="O18" s="84" t="s">
        <v>68</v>
      </c>
    </row>
    <row r="19" spans="2:15" ht="15.75" thickBot="1" x14ac:dyDescent="0.3">
      <c r="B19" s="112" t="s">
        <v>31</v>
      </c>
      <c r="C19" s="33"/>
      <c r="D19" s="33"/>
      <c r="E19" s="33"/>
      <c r="F19" s="33"/>
      <c r="G19" s="33"/>
      <c r="H19" s="33"/>
      <c r="I19" s="33"/>
      <c r="J19" s="113">
        <f>1-(J8/J18)</f>
        <v>-7.6520517762029838E-2</v>
      </c>
      <c r="K19" s="113">
        <f t="shared" ref="K19:M19" si="4">1-(K8/K18)</f>
        <v>0.33335640202915318</v>
      </c>
      <c r="L19" s="113">
        <f t="shared" si="4"/>
        <v>0.5634779591983472</v>
      </c>
      <c r="M19" s="78">
        <f t="shared" si="4"/>
        <v>0.65237358412303093</v>
      </c>
      <c r="O19" s="85">
        <f>AVERAGE(J19:M19)</f>
        <v>0.36817185689712539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>
      <selection activeCell="E7" sqref="E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FCF</vt:lpstr>
      <vt:lpstr>ASSUMPTIONS</vt:lpstr>
      <vt:lpstr>WACC</vt:lpstr>
      <vt:lpstr>SCHEDULES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2025-03-07T13:49:23Z</dcterms:modified>
</cp:coreProperties>
</file>