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e6237f9b02a2a353/Masaüstü/DOSYALARIM/Hisse ve Şirket değerleme/2025Eylül/"/>
    </mc:Choice>
  </mc:AlternateContent>
  <xr:revisionPtr revIDLastSave="243" documentId="8_{0D4E4621-4E85-480B-AE40-5068F53B0B1C}" xr6:coauthVersionLast="47" xr6:coauthVersionMax="47" xr10:uidLastSave="{70170FEA-5A6B-42E6-B419-C5E6ED078DF7}"/>
  <bookViews>
    <workbookView xWindow="-108" yWindow="-108" windowWidth="23256" windowHeight="12456" xr2:uid="{00000000-000D-0000-FFFF-FFFF00000000}"/>
  </bookViews>
  <sheets>
    <sheet name="DCF" sheetId="1" r:id="rId1"/>
    <sheet name="ASSUMPTIONS" sheetId="7" r:id="rId2"/>
    <sheet name="WACC" sheetId="2" r:id="rId3"/>
    <sheet name="SCHEDULES" sheetId="6" r:id="rId4"/>
    <sheet name="CCA" sheetId="3" r:id="rId5"/>
    <sheet name="ABOUT" sheetId="4" r:id="rId6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3" l="1"/>
  <c r="N20" i="3"/>
  <c r="F14" i="3"/>
  <c r="F13" i="3"/>
  <c r="F12" i="3"/>
  <c r="F11" i="3"/>
  <c r="F10" i="3"/>
  <c r="H14" i="3" l="1"/>
  <c r="H13" i="3"/>
  <c r="H12" i="3"/>
  <c r="H11" i="3"/>
  <c r="H10" i="3"/>
  <c r="H9" i="3"/>
  <c r="F9" i="3" l="1"/>
  <c r="D14" i="7" l="1"/>
  <c r="I30" i="1" l="1"/>
  <c r="G18" i="2"/>
  <c r="J7" i="6" l="1"/>
  <c r="I7" i="6"/>
  <c r="H7" i="6"/>
  <c r="J6" i="6"/>
  <c r="I6" i="6"/>
  <c r="H6" i="6"/>
  <c r="H10" i="1" l="1"/>
  <c r="G10" i="1"/>
  <c r="F10" i="1"/>
  <c r="E10" i="1"/>
  <c r="D10" i="1"/>
  <c r="H7" i="1" l="1"/>
  <c r="G7" i="1"/>
  <c r="F7" i="1"/>
  <c r="E7" i="1"/>
  <c r="D15" i="7" l="1"/>
  <c r="D12" i="7"/>
  <c r="J11" i="1" s="1"/>
  <c r="D7" i="7"/>
  <c r="D10" i="7"/>
  <c r="J6" i="1" s="1"/>
  <c r="K6" i="1" l="1"/>
  <c r="L6" i="6" s="1"/>
  <c r="K6" i="6"/>
  <c r="K11" i="1"/>
  <c r="L11" i="1" l="1"/>
  <c r="M11" i="1" l="1"/>
  <c r="N11" i="1" l="1"/>
  <c r="O11" i="1" l="1"/>
  <c r="P31" i="3" l="1"/>
  <c r="O31" i="3"/>
  <c r="N31" i="3"/>
  <c r="O29" i="3"/>
  <c r="N29" i="3"/>
  <c r="O14" i="3"/>
  <c r="N14" i="3"/>
  <c r="O13" i="3"/>
  <c r="P10" i="3"/>
  <c r="O10" i="3"/>
  <c r="P9" i="3"/>
  <c r="O9" i="3"/>
  <c r="N13" i="3"/>
  <c r="N16" i="3" s="1"/>
  <c r="N18" i="3"/>
  <c r="N11" i="3"/>
  <c r="N9" i="3"/>
  <c r="P17" i="3" l="1"/>
  <c r="O18" i="3"/>
  <c r="N17" i="3"/>
  <c r="N19" i="3"/>
  <c r="N21" i="3"/>
  <c r="O16" i="3"/>
  <c r="O19" i="3"/>
  <c r="P19" i="3"/>
  <c r="P16" i="3"/>
  <c r="P23" i="3" s="1"/>
  <c r="P30" i="3" s="1"/>
  <c r="P32" i="3" s="1"/>
  <c r="O21" i="3"/>
  <c r="P21" i="3"/>
  <c r="O20" i="3"/>
  <c r="O17" i="3"/>
  <c r="P20" i="3"/>
  <c r="N23" i="3"/>
  <c r="O23" i="3"/>
  <c r="N28" i="3" l="1"/>
  <c r="N30" i="3" s="1"/>
  <c r="N32" i="3" s="1"/>
  <c r="O28" i="3"/>
  <c r="O30" i="3" s="1"/>
  <c r="O32" i="3" s="1"/>
  <c r="F12" i="1"/>
  <c r="F15" i="1" s="1"/>
  <c r="E12" i="1"/>
  <c r="E15" i="1" s="1"/>
  <c r="D12" i="1"/>
  <c r="D15" i="1" s="1"/>
  <c r="H13" i="1"/>
  <c r="G13" i="1"/>
  <c r="E13" i="1"/>
  <c r="F13" i="1"/>
  <c r="I31" i="1"/>
  <c r="P34" i="3" l="1"/>
  <c r="I13" i="1"/>
  <c r="I10" i="1"/>
  <c r="D9" i="7" s="1"/>
  <c r="J11" i="6"/>
  <c r="I11" i="6"/>
  <c r="H11" i="6"/>
  <c r="J26" i="6"/>
  <c r="I27" i="6"/>
  <c r="I26" i="6"/>
  <c r="J25" i="6"/>
  <c r="I25" i="6"/>
  <c r="G8" i="2"/>
  <c r="J9" i="1" l="1"/>
  <c r="L6" i="1"/>
  <c r="M6" i="6" s="1"/>
  <c r="K9" i="1"/>
  <c r="K11" i="6"/>
  <c r="O11" i="6" s="1"/>
  <c r="H13" i="6"/>
  <c r="H12" i="6"/>
  <c r="I13" i="6"/>
  <c r="I12" i="6"/>
  <c r="J12" i="6"/>
  <c r="J13" i="6"/>
  <c r="I28" i="6"/>
  <c r="G21" i="1" s="1"/>
  <c r="J27" i="6"/>
  <c r="J28" i="6" s="1"/>
  <c r="H21" i="1" s="1"/>
  <c r="K12" i="1" l="1"/>
  <c r="L7" i="6"/>
  <c r="J12" i="1"/>
  <c r="K7" i="6"/>
  <c r="N11" i="6"/>
  <c r="L11" i="6"/>
  <c r="M6" i="1"/>
  <c r="N6" i="6" s="1"/>
  <c r="L9" i="1"/>
  <c r="M11" i="6"/>
  <c r="K12" i="6"/>
  <c r="O12" i="6" s="1"/>
  <c r="K13" i="6"/>
  <c r="H12" i="1"/>
  <c r="H15" i="1" s="1"/>
  <c r="G12" i="1"/>
  <c r="G15" i="1" s="1"/>
  <c r="K18" i="6" l="1"/>
  <c r="K19" i="6"/>
  <c r="L12" i="1"/>
  <c r="M7" i="6"/>
  <c r="M12" i="6"/>
  <c r="N12" i="6"/>
  <c r="L12" i="6"/>
  <c r="M13" i="6"/>
  <c r="O13" i="6"/>
  <c r="L13" i="6"/>
  <c r="N13" i="6"/>
  <c r="N6" i="1"/>
  <c r="O6" i="6" s="1"/>
  <c r="M9" i="1"/>
  <c r="I7" i="1"/>
  <c r="D8" i="7" s="1"/>
  <c r="E17" i="1"/>
  <c r="F17" i="1"/>
  <c r="G17" i="1"/>
  <c r="I17" i="1" s="1"/>
  <c r="H17" i="1"/>
  <c r="M12" i="1" l="1"/>
  <c r="N7" i="6"/>
  <c r="O6" i="1"/>
  <c r="O9" i="1" s="1"/>
  <c r="O12" i="1" s="1"/>
  <c r="N9" i="1"/>
  <c r="D17" i="1"/>
  <c r="D13" i="7" s="1"/>
  <c r="G15" i="2" s="1"/>
  <c r="G13" i="2" s="1"/>
  <c r="G17" i="2" s="1"/>
  <c r="I32" i="1" s="1"/>
  <c r="J19" i="1"/>
  <c r="K17" i="6"/>
  <c r="N12" i="1" l="1"/>
  <c r="O7" i="6"/>
  <c r="D11" i="7"/>
  <c r="K19" i="1"/>
  <c r="L19" i="1" s="1"/>
  <c r="M19" i="1" s="1"/>
  <c r="N19" i="1" s="1"/>
  <c r="O19" i="1" s="1"/>
  <c r="J20" i="1"/>
  <c r="K20" i="1" s="1"/>
  <c r="L20" i="1" s="1"/>
  <c r="M20" i="1" s="1"/>
  <c r="N20" i="1" s="1"/>
  <c r="O20" i="1" s="1"/>
  <c r="L17" i="6"/>
  <c r="J15" i="1" l="1"/>
  <c r="J16" i="1" s="1"/>
  <c r="K15" i="1"/>
  <c r="K16" i="1" s="1"/>
  <c r="L15" i="1"/>
  <c r="L16" i="1" s="1"/>
  <c r="M15" i="1"/>
  <c r="M16" i="1" s="1"/>
  <c r="M17" i="6"/>
  <c r="L19" i="6" l="1"/>
  <c r="L27" i="6" s="1"/>
  <c r="L18" i="6"/>
  <c r="O15" i="1"/>
  <c r="O16" i="1" s="1"/>
  <c r="N17" i="6"/>
  <c r="K27" i="6"/>
  <c r="K26" i="6"/>
  <c r="L26" i="6" l="1"/>
  <c r="M18" i="6"/>
  <c r="M19" i="6"/>
  <c r="M27" i="6" s="1"/>
  <c r="O17" i="6"/>
  <c r="N15" i="1"/>
  <c r="N16" i="1" s="1"/>
  <c r="K25" i="6"/>
  <c r="K28" i="6" s="1"/>
  <c r="M26" i="6" l="1"/>
  <c r="N18" i="6"/>
  <c r="N19" i="6"/>
  <c r="J21" i="1"/>
  <c r="J25" i="1" s="1"/>
  <c r="O25" i="6"/>
  <c r="N25" i="6"/>
  <c r="M25" i="6"/>
  <c r="L25" i="6"/>
  <c r="L28" i="6" s="1"/>
  <c r="M28" i="6" l="1"/>
  <c r="L21" i="1" s="1"/>
  <c r="L25" i="1" s="1"/>
  <c r="N27" i="6"/>
  <c r="N26" i="6"/>
  <c r="O18" i="6"/>
  <c r="O26" i="6" s="1"/>
  <c r="O19" i="6"/>
  <c r="O27" i="6" s="1"/>
  <c r="K21" i="1"/>
  <c r="K25" i="1" s="1"/>
  <c r="N28" i="6" l="1"/>
  <c r="M21" i="1" s="1"/>
  <c r="M25" i="1" s="1"/>
  <c r="O28" i="6"/>
  <c r="P28" i="6" s="1"/>
  <c r="O21" i="1" l="1"/>
  <c r="O25" i="1" s="1"/>
  <c r="N21" i="1"/>
  <c r="N25" i="1" s="1"/>
  <c r="M31" i="1" l="1"/>
  <c r="M30" i="1"/>
  <c r="M33" i="1" l="1"/>
  <c r="N26" i="1" s="1"/>
  <c r="D25" i="1" s="1"/>
  <c r="D28" i="1" s="1"/>
  <c r="D30" i="1" s="1"/>
  <c r="D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furkan panayir</author>
  </authors>
  <commentList>
    <comment ref="C9" authorId="0" shapeId="0" xr:uid="{6D3BB1F4-0415-415E-9600-9F4901711291}">
      <text>
        <r>
          <rPr>
            <b/>
            <sz val="9"/>
            <color indexed="81"/>
            <rFont val="Tahoma"/>
            <family val="2"/>
            <charset val="162"/>
          </rPr>
          <t>furkan panayir:</t>
        </r>
        <r>
          <rPr>
            <sz val="9"/>
            <color indexed="81"/>
            <rFont val="Tahoma"/>
            <family val="2"/>
            <charset val="162"/>
          </rPr>
          <t xml:space="preserve">
Estimated COGS not calculated from percentages of the revenues</t>
        </r>
      </text>
    </comment>
    <comment ref="C11" authorId="0" shapeId="0" xr:uid="{FB46F69F-8FE9-48E1-8D65-8F1EF7870F42}">
      <text>
        <r>
          <rPr>
            <b/>
            <sz val="9"/>
            <color indexed="81"/>
            <rFont val="Tahoma"/>
            <family val="2"/>
            <charset val="162"/>
          </rPr>
          <t>furkan panayir:</t>
        </r>
        <r>
          <rPr>
            <sz val="9"/>
            <color indexed="81"/>
            <rFont val="Tahoma"/>
            <family val="2"/>
            <charset val="162"/>
          </rPr>
          <t xml:space="preserve">
D&amp;A INCLUDED
</t>
        </r>
      </text>
    </comment>
    <comment ref="C27" authorId="0" shapeId="0" xr:uid="{D7D3677F-1964-4135-9304-B8F9D43EFD46}">
      <text>
        <r>
          <rPr>
            <b/>
            <sz val="9"/>
            <color indexed="81"/>
            <rFont val="Tahoma"/>
            <family val="2"/>
            <charset val="162"/>
          </rPr>
          <t>furkan panayir:</t>
        </r>
        <r>
          <rPr>
            <sz val="9"/>
            <color indexed="81"/>
            <rFont val="Tahoma"/>
            <family val="2"/>
            <charset val="162"/>
          </rPr>
          <t xml:space="preserve">
Only interest Bearing Debt
</t>
        </r>
      </text>
    </comment>
    <comment ref="C28" authorId="0" shapeId="0" xr:uid="{BBD695B8-DF44-4BB1-9A51-1760F7CBFE6F}">
      <text>
        <r>
          <rPr>
            <b/>
            <sz val="9"/>
            <color indexed="81"/>
            <rFont val="Tahoma"/>
            <family val="2"/>
            <charset val="162"/>
          </rPr>
          <t>furkan panayir:
I did not add non-operational assets while calculating equity value.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furkan panayir</author>
  </authors>
  <commentList>
    <comment ref="F8" authorId="0" shapeId="0" xr:uid="{11423B6A-8286-4849-A724-84CBEAD2CCB7}">
      <text>
        <r>
          <rPr>
            <b/>
            <sz val="9"/>
            <color indexed="81"/>
            <rFont val="Tahoma"/>
            <family val="2"/>
            <charset val="162"/>
          </rPr>
          <t>furkan panayir:</t>
        </r>
        <r>
          <rPr>
            <sz val="9"/>
            <color indexed="81"/>
            <rFont val="Tahoma"/>
            <family val="2"/>
            <charset val="162"/>
          </rPr>
          <t xml:space="preserve">
Market Value of Equity</t>
        </r>
      </text>
    </comment>
    <comment ref="F13" authorId="0" shapeId="0" xr:uid="{E1EA1BFD-B609-4494-BED2-6A9B985971E6}">
      <text>
        <r>
          <rPr>
            <b/>
            <sz val="9"/>
            <color indexed="81"/>
            <rFont val="Tahoma"/>
            <family val="2"/>
            <charset val="162"/>
          </rPr>
          <t>furkan panayir:</t>
        </r>
        <r>
          <rPr>
            <sz val="9"/>
            <color indexed="81"/>
            <rFont val="Tahoma"/>
            <family val="2"/>
            <charset val="162"/>
          </rPr>
          <t xml:space="preserve">
Book Value of Debt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furkan panayir</author>
  </authors>
  <commentList>
    <comment ref="D12" authorId="0" shapeId="0" xr:uid="{5F8A4594-263F-441D-A1C7-3E86FF292433}">
      <text>
        <r>
          <rPr>
            <b/>
            <sz val="9"/>
            <color indexed="81"/>
            <rFont val="Tahoma"/>
            <family val="2"/>
            <charset val="162"/>
          </rPr>
          <t>furkan panayir:</t>
        </r>
        <r>
          <rPr>
            <sz val="9"/>
            <color indexed="81"/>
            <rFont val="Tahoma"/>
            <family val="2"/>
            <charset val="162"/>
          </rPr>
          <t xml:space="preserve">
UBER DOES NOT HAVE "INVENTORIES"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furkan panayir</author>
  </authors>
  <commentList>
    <comment ref="P7" authorId="0" shapeId="0" xr:uid="{103B040D-2D5F-4F1D-8DB6-8C5C93307427}">
      <text>
        <r>
          <rPr>
            <b/>
            <sz val="9"/>
            <color indexed="81"/>
            <rFont val="Tahoma"/>
            <family val="2"/>
            <charset val="162"/>
          </rPr>
          <t>furkan panayir:</t>
        </r>
        <r>
          <rPr>
            <sz val="9"/>
            <color indexed="81"/>
            <rFont val="Tahoma"/>
            <family val="2"/>
            <charset val="162"/>
          </rPr>
          <t xml:space="preserve">
Has distorted Net Earnings for past 2 years due to valuation allowance for DTA, I will take this as 5% percentage weighted in average share value calculations</t>
        </r>
      </text>
    </comment>
  </commentList>
</comments>
</file>

<file path=xl/sharedStrings.xml><?xml version="1.0" encoding="utf-8"?>
<sst xmlns="http://schemas.openxmlformats.org/spreadsheetml/2006/main" count="165" uniqueCount="138">
  <si>
    <t>REVENUE</t>
  </si>
  <si>
    <t xml:space="preserve">Average </t>
  </si>
  <si>
    <t>COGS</t>
  </si>
  <si>
    <t>INCOME TAX</t>
  </si>
  <si>
    <t>TAX RATE</t>
  </si>
  <si>
    <t>DEPRECİATİON&amp;AMORTİZATİON</t>
  </si>
  <si>
    <t>(NET CAPİTAL EXPENDİTURE)</t>
  </si>
  <si>
    <t>FCF</t>
  </si>
  <si>
    <t>EV/EBİTDA multiple</t>
  </si>
  <si>
    <t>CASH AND CASH EQUİVALENTS</t>
  </si>
  <si>
    <t>(DEBT)</t>
  </si>
  <si>
    <t>EQUİTY VALUE</t>
  </si>
  <si>
    <t>SHARES OUTSTANDING</t>
  </si>
  <si>
    <t>COST OF EQUITY</t>
  </si>
  <si>
    <t>EQUITY RISK PREMIUM</t>
  </si>
  <si>
    <t>(X)BETA</t>
  </si>
  <si>
    <t>(+)RISK FREE RATE</t>
  </si>
  <si>
    <t>COST OF DEBT</t>
  </si>
  <si>
    <t>WACC</t>
  </si>
  <si>
    <t>PERCENT OF EQUITY</t>
  </si>
  <si>
    <t>PERCENT OF DEBT</t>
  </si>
  <si>
    <t>AVERAGE YIELD ON DEBT</t>
  </si>
  <si>
    <t>Growth Forecast</t>
  </si>
  <si>
    <t>EBITDA</t>
  </si>
  <si>
    <t>EV/EBITDA</t>
  </si>
  <si>
    <t>P/E</t>
  </si>
  <si>
    <t>CHANGE IN WORKING CAPITAL</t>
  </si>
  <si>
    <t>REVENUE INCREASE</t>
  </si>
  <si>
    <t>Days in Period</t>
  </si>
  <si>
    <t>Revenue</t>
  </si>
  <si>
    <t>AMOUNTS PER DAY</t>
  </si>
  <si>
    <t>Accounts Receivable</t>
  </si>
  <si>
    <t>(Days)</t>
  </si>
  <si>
    <t>Inventory</t>
  </si>
  <si>
    <t>Accounts Payable</t>
  </si>
  <si>
    <t>TOTAL AMOUNTS</t>
  </si>
  <si>
    <t>CASH CHANGES</t>
  </si>
  <si>
    <t>Cash from Working Capital Items</t>
  </si>
  <si>
    <t>2026 F</t>
  </si>
  <si>
    <t>2027 F</t>
  </si>
  <si>
    <t>2022 A</t>
  </si>
  <si>
    <t>2023 A</t>
  </si>
  <si>
    <t>MULTIPLE METHOD</t>
  </si>
  <si>
    <t>PERPETUITY METHOD</t>
  </si>
  <si>
    <t xml:space="preserve">TERMINAL GROWTH </t>
  </si>
  <si>
    <t>WEIGHTED TERMINAL VALUE</t>
  </si>
  <si>
    <t>EFFECTIVE TAX RATE FROM EBITDA</t>
  </si>
  <si>
    <t>EBIT (OPERATING INCOME)</t>
  </si>
  <si>
    <t xml:space="preserve">OPERATING EXPENSES </t>
  </si>
  <si>
    <t>WORKING CAPITAL SCHEDULE</t>
  </si>
  <si>
    <t>TERMINAL</t>
  </si>
  <si>
    <t>YEARS</t>
  </si>
  <si>
    <t>WEIGHTED AVERAGE COST OF CAPITAL</t>
  </si>
  <si>
    <t>2020A</t>
  </si>
  <si>
    <t>2022A</t>
  </si>
  <si>
    <t>2023A</t>
  </si>
  <si>
    <t>2024A</t>
  </si>
  <si>
    <t>ASSUMPTIONS</t>
  </si>
  <si>
    <t>HISTORICAL REVENUE INCREASE</t>
  </si>
  <si>
    <t>Revenue Increase Assumption</t>
  </si>
  <si>
    <t>Effective Tax Rate from Ebitda</t>
  </si>
  <si>
    <t>EV/EBITDA Multiple Assumption</t>
  </si>
  <si>
    <t>Terminal Growth Rate Assumption</t>
  </si>
  <si>
    <t>2021A</t>
  </si>
  <si>
    <t>TOTAL EXPENSES</t>
  </si>
  <si>
    <t>2024 A</t>
  </si>
  <si>
    <t>2028F</t>
  </si>
  <si>
    <t>2029 F</t>
  </si>
  <si>
    <t>FCFF=EBIT*(1-TAX RATE)+DEPRECİATİON&amp;AMORTİZATİON-NET CAPEX- NET CHANGE IN WORKING CAPITAL</t>
  </si>
  <si>
    <t>Harmonic Mean</t>
  </si>
  <si>
    <t>NPV OF FCFF (ENTERPRİSE VALUE)</t>
  </si>
  <si>
    <t>INCREASE IN OPERATING EXPENSES</t>
  </si>
  <si>
    <t>COGS PERCENTAGE OF REVENUES</t>
  </si>
  <si>
    <t>HISTORICAL INCREASE OF OP. EXPENSES</t>
  </si>
  <si>
    <t>Operating Expense Increase Assumption</t>
  </si>
  <si>
    <t>Low</t>
  </si>
  <si>
    <t>High</t>
  </si>
  <si>
    <t>Comparable Companies</t>
  </si>
  <si>
    <t>DCF</t>
  </si>
  <si>
    <t>Base</t>
  </si>
  <si>
    <t>BEST CASE</t>
  </si>
  <si>
    <t>BASE CASE</t>
  </si>
  <si>
    <t>WORST CASE</t>
  </si>
  <si>
    <t>Worst</t>
  </si>
  <si>
    <t>Best</t>
  </si>
  <si>
    <t>Implied Value Per Share</t>
  </si>
  <si>
    <t>Shares Outstanding</t>
  </si>
  <si>
    <t>Implied Market Value</t>
  </si>
  <si>
    <t>Net Debt</t>
  </si>
  <si>
    <t>Implied Enterprise Value</t>
  </si>
  <si>
    <t>EV/Revenue</t>
  </si>
  <si>
    <t>25th Percentile</t>
  </si>
  <si>
    <t>Median</t>
  </si>
  <si>
    <t>75th Percentile</t>
  </si>
  <si>
    <t>Net Income</t>
  </si>
  <si>
    <t>Enterprise 
Value</t>
  </si>
  <si>
    <t>Equity Value</t>
  </si>
  <si>
    <t>Share 
Price</t>
  </si>
  <si>
    <t>Ticker</t>
  </si>
  <si>
    <t>Company</t>
  </si>
  <si>
    <t>Valuation</t>
  </si>
  <si>
    <t>Financials</t>
  </si>
  <si>
    <t>Market Data</t>
  </si>
  <si>
    <t>Comparable Companies Analysis</t>
  </si>
  <si>
    <t xml:space="preserve"> Valuation</t>
  </si>
  <si>
    <r>
      <t xml:space="preserve">Template Source:  Kenji Explains (Youtube) </t>
    </r>
    <r>
      <rPr>
        <i/>
        <sz val="11"/>
        <color theme="1"/>
        <rFont val="Calibri"/>
        <family val="2"/>
        <scheme val="minor"/>
      </rPr>
      <t>Comparable Companies Valuation, with my own contributions</t>
    </r>
  </si>
  <si>
    <t>BEST (75th Percentile)</t>
  </si>
  <si>
    <t>BASE (Harmonic Mean)</t>
  </si>
  <si>
    <t>WORST (25th Percentile)</t>
  </si>
  <si>
    <t>SCENERIO</t>
  </si>
  <si>
    <t>Average Share Value</t>
  </si>
  <si>
    <t>WORST SCENERIO</t>
  </si>
  <si>
    <t>BASE SCENERIO</t>
  </si>
  <si>
    <t>BEST SCENERIO</t>
  </si>
  <si>
    <t>Case</t>
  </si>
  <si>
    <t>VALUATION CHART</t>
  </si>
  <si>
    <t>2026F</t>
  </si>
  <si>
    <t>2027F</t>
  </si>
  <si>
    <t>2029F</t>
  </si>
  <si>
    <t>2025A&amp;F</t>
  </si>
  <si>
    <t>UBER  VALUATION</t>
  </si>
  <si>
    <t>2025 A&amp;F</t>
  </si>
  <si>
    <t>FAIR VALUE OF THE EQUITY</t>
  </si>
  <si>
    <t>MARKET PRICE 3TH OF SEPTEMBER</t>
  </si>
  <si>
    <t>UBER</t>
  </si>
  <si>
    <t>Uber</t>
  </si>
  <si>
    <t>Lyft</t>
  </si>
  <si>
    <t>LYFT</t>
  </si>
  <si>
    <t>Grab Holdings</t>
  </si>
  <si>
    <t>GRAB</t>
  </si>
  <si>
    <t>DiDi Global</t>
  </si>
  <si>
    <t>DIDIY</t>
  </si>
  <si>
    <t>DoorDash</t>
  </si>
  <si>
    <t>DASH</t>
  </si>
  <si>
    <t>Avis Budget</t>
  </si>
  <si>
    <t>CAR</t>
  </si>
  <si>
    <t>(minus)</t>
  </si>
  <si>
    <t>(outlier)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</si>
</sst>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[$$-409]* #,##0.00_ ;_-[$$-409]* \-#,##0.00\ ;_-[$$-409]* &quot;-&quot;??_ ;_-@_ "/>
    <numFmt numFmtId="165" formatCode="0.0%"/>
    <numFmt numFmtId="166" formatCode="0&quot;A&quot;"/>
    <numFmt numFmtId="167" formatCode="_(#,##0_)_%;\(#,##0\)_%;_(&quot;–&quot;_)_%;_(@_)_%"/>
    <numFmt numFmtId="168" formatCode="_(#,##0_);\(#,##0\);_(&quot;–&quot;_);_(@_)"/>
    <numFmt numFmtId="169" formatCode="#,##0_);\(#,##0\);\-"/>
    <numFmt numFmtId="170" formatCode="0.0"/>
    <numFmt numFmtId="171" formatCode="_-[$$-409]* #,##0.0_ ;_-[$$-409]* \-#,##0.0\ ;_-[$$-409]* &quot;-&quot;??_ ;_-@_ "/>
    <numFmt numFmtId="172" formatCode="_-[$$-409]* #,##0_ ;_-[$$-409]* \-#,##0\ ;_-[$$-409]* &quot;-&quot;??_ ;_-@_ "/>
    <numFmt numFmtId="173" formatCode="_-* #,##0.00_-;\-* #,##0.00_-;_-* &quot;-&quot;??_-;_-@"/>
    <numFmt numFmtId="174" formatCode="_-* #,##0_-;\-* #,##0_-;_-* &quot;-&quot;??_-;_-@"/>
    <numFmt numFmtId="175" formatCode="_-* #,##0.00\ _€_-;\-* #,##0.00\ _€_-;_-* &quot;-&quot;??\ _€_-;_-@"/>
    <numFmt numFmtId="176" formatCode="#,##0.0\x"/>
    <numFmt numFmtId="177" formatCode="_-[$$-409]* #,##0.0_ ;_-[$$-409]* \-#,##0.0\ ;_-[$$-409]* &quot;-&quot;?_ ;_-@_ "/>
    <numFmt numFmtId="178" formatCode="#,##0\x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4" tint="-0.249977111117893"/>
      <name val="Calibri"/>
      <family val="2"/>
      <scheme val="minor"/>
    </font>
    <font>
      <b/>
      <sz val="10"/>
      <color theme="0"/>
      <name val="Open Sans"/>
      <family val="2"/>
    </font>
    <font>
      <sz val="10"/>
      <color theme="1"/>
      <name val="Open Sans"/>
      <family val="2"/>
    </font>
    <font>
      <i/>
      <sz val="9"/>
      <name val="Open Sans"/>
      <family val="2"/>
    </font>
    <font>
      <b/>
      <sz val="10"/>
      <name val="Open Sans"/>
      <family val="2"/>
    </font>
    <font>
      <sz val="14"/>
      <color theme="1"/>
      <name val="Open Sans"/>
      <family val="2"/>
    </font>
    <font>
      <sz val="10"/>
      <color rgb="FF000000"/>
      <name val="Open Sans"/>
      <family val="2"/>
    </font>
    <font>
      <i/>
      <sz val="8"/>
      <name val="Open Sans"/>
      <family val="2"/>
    </font>
    <font>
      <sz val="10"/>
      <name val="Open Sans"/>
      <family val="2"/>
    </font>
    <font>
      <sz val="11"/>
      <name val="Open Sans"/>
      <family val="2"/>
    </font>
    <font>
      <b/>
      <sz val="10"/>
      <color rgb="FF000000"/>
      <name val="Open Sans"/>
      <family val="2"/>
    </font>
    <font>
      <sz val="10"/>
      <color rgb="FF0000FF"/>
      <name val="Open Sans"/>
      <family val="2"/>
    </font>
    <font>
      <sz val="10"/>
      <color theme="4" tint="-0.249977111117893"/>
      <name val="Open Sans"/>
      <family val="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4" tint="-0.249977111117893"/>
      <name val="Calibri"/>
      <family val="2"/>
      <charset val="162"/>
      <scheme val="minor"/>
    </font>
    <font>
      <i/>
      <sz val="13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sz val="13"/>
      <color rgb="FF007BB8"/>
      <name val="Calibri"/>
      <family val="2"/>
      <scheme val="minor"/>
    </font>
    <font>
      <b/>
      <i/>
      <sz val="32"/>
      <color theme="1"/>
      <name val="Calibri"/>
      <family val="2"/>
      <charset val="16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rgb="FF007BB8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i/>
      <sz val="14"/>
      <color theme="1"/>
      <name val="Calibri"/>
      <family val="2"/>
      <charset val="162"/>
      <scheme val="minor"/>
    </font>
    <font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162"/>
    </font>
    <font>
      <b/>
      <sz val="12"/>
      <color rgb="FF0432FF"/>
      <name val="Calibri"/>
      <family val="2"/>
      <charset val="162"/>
    </font>
    <font>
      <sz val="12"/>
      <color theme="1"/>
      <name val="Calibri"/>
      <family val="2"/>
      <charset val="162"/>
    </font>
    <font>
      <sz val="12"/>
      <color rgb="FF0432FF"/>
      <name val="Calibri"/>
      <family val="2"/>
      <charset val="162"/>
    </font>
    <font>
      <b/>
      <sz val="12"/>
      <color theme="0"/>
      <name val="Calibri"/>
      <family val="2"/>
      <charset val="162"/>
    </font>
    <font>
      <sz val="12"/>
      <name val="Calibri"/>
      <family val="2"/>
      <charset val="162"/>
    </font>
    <font>
      <b/>
      <sz val="12"/>
      <name val="Calibri"/>
      <family val="2"/>
      <charset val="162"/>
    </font>
    <font>
      <sz val="12"/>
      <color theme="4" tint="-0.249977111117893"/>
      <name val="Calibri"/>
      <family val="2"/>
      <charset val="162"/>
    </font>
    <font>
      <b/>
      <sz val="18"/>
      <name val="Calibri"/>
      <family val="2"/>
      <charset val="162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b/>
      <sz val="10"/>
      <color theme="1"/>
      <name val="Open Sans"/>
      <family val="2"/>
    </font>
    <font>
      <sz val="14"/>
      <color theme="4"/>
      <name val="Calibri"/>
      <family val="2"/>
      <scheme val="minor"/>
    </font>
    <font>
      <sz val="14"/>
      <color theme="4" tint="-0.249977111117893"/>
      <name val="Calibri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rgb="FF293D68"/>
      </patternFill>
    </fill>
    <fill>
      <patternFill patternType="solid">
        <fgColor theme="9" tint="0.59999389629810485"/>
        <bgColor rgb="FFD9E2F3"/>
      </patternFill>
    </fill>
  </fills>
  <borders count="40">
    <border>
      <left/>
      <right/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medium">
        <color indexed="64"/>
      </left>
      <right style="thin">
        <color theme="2"/>
      </right>
      <top style="medium">
        <color indexed="64"/>
      </top>
      <bottom/>
      <diagonal/>
    </border>
    <border>
      <left style="thin">
        <color theme="2"/>
      </left>
      <right style="thin">
        <color theme="2"/>
      </right>
      <top style="medium">
        <color indexed="64"/>
      </top>
      <bottom/>
      <diagonal/>
    </border>
    <border>
      <left style="thin">
        <color theme="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/>
      </right>
      <top/>
      <bottom style="medium">
        <color indexed="64"/>
      </bottom>
      <diagonal/>
    </border>
    <border>
      <left style="thin">
        <color theme="2"/>
      </left>
      <right style="thin">
        <color theme="2"/>
      </right>
      <top/>
      <bottom style="medium">
        <color indexed="64"/>
      </bottom>
      <diagonal/>
    </border>
    <border>
      <left style="thin">
        <color theme="2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theme="2"/>
      </right>
      <top/>
      <bottom/>
      <diagonal/>
    </border>
    <border>
      <left style="thin">
        <color theme="2"/>
      </left>
      <right style="medium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6">
    <xf numFmtId="0" fontId="0" fillId="0" borderId="0" xfId="0"/>
    <xf numFmtId="9" fontId="0" fillId="0" borderId="0" xfId="1" applyFont="1"/>
    <xf numFmtId="9" fontId="0" fillId="0" borderId="0" xfId="0" applyNumberFormat="1"/>
    <xf numFmtId="2" fontId="0" fillId="0" borderId="0" xfId="0" applyNumberFormat="1"/>
    <xf numFmtId="0" fontId="2" fillId="0" borderId="0" xfId="0" applyFont="1"/>
    <xf numFmtId="10" fontId="0" fillId="0" borderId="0" xfId="0" applyNumberFormat="1"/>
    <xf numFmtId="0" fontId="0" fillId="0" borderId="0" xfId="1" applyNumberFormat="1" applyFont="1"/>
    <xf numFmtId="0" fontId="2" fillId="0" borderId="0" xfId="0" applyFont="1" applyAlignment="1">
      <alignment wrapText="1"/>
    </xf>
    <xf numFmtId="0" fontId="19" fillId="0" borderId="0" xfId="0" applyFont="1"/>
    <xf numFmtId="0" fontId="2" fillId="0" borderId="5" xfId="0" applyFont="1" applyBorder="1"/>
    <xf numFmtId="0" fontId="0" fillId="0" borderId="5" xfId="0" applyBorder="1"/>
    <xf numFmtId="165" fontId="3" fillId="0" borderId="6" xfId="1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10" fontId="3" fillId="0" borderId="10" xfId="1" applyNumberFormat="1" applyFont="1" applyBorder="1" applyAlignment="1">
      <alignment horizontal="center"/>
    </xf>
    <xf numFmtId="0" fontId="2" fillId="0" borderId="11" xfId="0" applyFont="1" applyBorder="1"/>
    <xf numFmtId="0" fontId="19" fillId="0" borderId="5" xfId="0" applyFont="1" applyBorder="1"/>
    <xf numFmtId="0" fontId="0" fillId="0" borderId="15" xfId="0" applyBorder="1"/>
    <xf numFmtId="0" fontId="0" fillId="0" borderId="13" xfId="0" applyBorder="1"/>
    <xf numFmtId="37" fontId="4" fillId="0" borderId="0" xfId="0" applyNumberFormat="1" applyFont="1" applyAlignment="1">
      <alignment vertical="center"/>
    </xf>
    <xf numFmtId="166" fontId="7" fillId="0" borderId="0" xfId="0" applyNumberFormat="1" applyFont="1" applyAlignment="1">
      <alignment horizontal="right"/>
    </xf>
    <xf numFmtId="37" fontId="8" fillId="0" borderId="0" xfId="0" applyNumberFormat="1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164" fontId="9" fillId="0" borderId="0" xfId="0" applyNumberFormat="1" applyFont="1"/>
    <xf numFmtId="167" fontId="6" fillId="0" borderId="5" xfId="0" applyNumberFormat="1" applyFont="1" applyBorder="1" applyAlignment="1">
      <alignment vertical="center"/>
    </xf>
    <xf numFmtId="0" fontId="9" fillId="0" borderId="5" xfId="0" applyFont="1" applyBorder="1" applyAlignment="1">
      <alignment horizontal="left" indent="1"/>
    </xf>
    <xf numFmtId="0" fontId="12" fillId="0" borderId="5" xfId="0" applyFont="1" applyBorder="1"/>
    <xf numFmtId="0" fontId="7" fillId="0" borderId="0" xfId="0" applyFont="1"/>
    <xf numFmtId="169" fontId="11" fillId="0" borderId="0" xfId="0" applyNumberFormat="1" applyFont="1"/>
    <xf numFmtId="0" fontId="13" fillId="0" borderId="5" xfId="0" applyFont="1" applyBorder="1" applyAlignment="1">
      <alignment horizontal="left"/>
    </xf>
    <xf numFmtId="0" fontId="11" fillId="0" borderId="5" xfId="0" applyFont="1" applyBorder="1" applyAlignment="1">
      <alignment horizontal="left" indent="1"/>
    </xf>
    <xf numFmtId="168" fontId="11" fillId="0" borderId="0" xfId="0" applyNumberFormat="1" applyFont="1"/>
    <xf numFmtId="0" fontId="6" fillId="0" borderId="0" xfId="0" applyFont="1" applyAlignment="1">
      <alignment horizontal="center"/>
    </xf>
    <xf numFmtId="40" fontId="11" fillId="0" borderId="0" xfId="0" applyNumberFormat="1" applyFont="1"/>
    <xf numFmtId="38" fontId="11" fillId="0" borderId="0" xfId="0" applyNumberFormat="1" applyFont="1"/>
    <xf numFmtId="169" fontId="14" fillId="0" borderId="0" xfId="0" applyNumberFormat="1" applyFont="1"/>
    <xf numFmtId="164" fontId="15" fillId="0" borderId="0" xfId="0" applyNumberFormat="1" applyFont="1"/>
    <xf numFmtId="0" fontId="5" fillId="0" borderId="0" xfId="0" applyFont="1"/>
    <xf numFmtId="164" fontId="5" fillId="0" borderId="0" xfId="0" applyNumberFormat="1" applyFont="1"/>
    <xf numFmtId="164" fontId="11" fillId="0" borderId="0" xfId="0" applyNumberFormat="1" applyFont="1"/>
    <xf numFmtId="168" fontId="9" fillId="0" borderId="0" xfId="0" applyNumberFormat="1" applyFont="1"/>
    <xf numFmtId="0" fontId="11" fillId="0" borderId="7" xfId="0" applyFont="1" applyBorder="1" applyAlignment="1">
      <alignment horizontal="left" indent="1"/>
    </xf>
    <xf numFmtId="0" fontId="7" fillId="0" borderId="15" xfId="0" applyFont="1" applyBorder="1"/>
    <xf numFmtId="168" fontId="15" fillId="0" borderId="1" xfId="0" applyNumberFormat="1" applyFont="1" applyBorder="1"/>
    <xf numFmtId="164" fontId="9" fillId="0" borderId="15" xfId="0" applyNumberFormat="1" applyFont="1" applyBorder="1" applyAlignment="1">
      <alignment horizontal="right" vertical="center"/>
    </xf>
    <xf numFmtId="0" fontId="21" fillId="0" borderId="5" xfId="0" applyFont="1" applyBorder="1"/>
    <xf numFmtId="0" fontId="21" fillId="0" borderId="7" xfId="0" applyFont="1" applyBorder="1"/>
    <xf numFmtId="0" fontId="18" fillId="3" borderId="17" xfId="0" applyFont="1" applyFill="1" applyBorder="1" applyAlignment="1">
      <alignment horizontal="centerContinuous"/>
    </xf>
    <xf numFmtId="0" fontId="2" fillId="3" borderId="3" xfId="0" applyFont="1" applyFill="1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20" fillId="3" borderId="13" xfId="0" applyFont="1" applyFill="1" applyBorder="1"/>
    <xf numFmtId="0" fontId="20" fillId="3" borderId="4" xfId="0" applyFont="1" applyFill="1" applyBorder="1"/>
    <xf numFmtId="0" fontId="24" fillId="3" borderId="17" xfId="0" applyFont="1" applyFill="1" applyBorder="1" applyAlignment="1">
      <alignment horizontal="centerContinuous"/>
    </xf>
    <xf numFmtId="0" fontId="0" fillId="3" borderId="19" xfId="0" applyFill="1" applyBorder="1" applyAlignment="1">
      <alignment horizontal="centerContinuous"/>
    </xf>
    <xf numFmtId="0" fontId="0" fillId="3" borderId="18" xfId="0" applyFill="1" applyBorder="1" applyAlignment="1">
      <alignment horizontal="centerContinuous"/>
    </xf>
    <xf numFmtId="10" fontId="0" fillId="0" borderId="6" xfId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5" fontId="0" fillId="0" borderId="12" xfId="1" applyNumberFormat="1" applyFont="1" applyBorder="1" applyAlignment="1">
      <alignment horizontal="center"/>
    </xf>
    <xf numFmtId="9" fontId="3" fillId="0" borderId="6" xfId="1" applyFont="1" applyBorder="1" applyAlignment="1">
      <alignment horizontal="center"/>
    </xf>
    <xf numFmtId="9" fontId="3" fillId="0" borderId="10" xfId="1" applyFon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3" fillId="0" borderId="8" xfId="1" applyFont="1" applyBorder="1" applyAlignment="1">
      <alignment horizontal="center"/>
    </xf>
    <xf numFmtId="0" fontId="25" fillId="0" borderId="0" xfId="0" applyFont="1"/>
    <xf numFmtId="0" fontId="25" fillId="0" borderId="3" xfId="0" applyFont="1" applyBorder="1"/>
    <xf numFmtId="0" fontId="25" fillId="3" borderId="13" xfId="0" applyFont="1" applyFill="1" applyBorder="1" applyAlignment="1">
      <alignment horizontal="centerContinuous"/>
    </xf>
    <xf numFmtId="0" fontId="25" fillId="0" borderId="13" xfId="0" applyFont="1" applyBorder="1"/>
    <xf numFmtId="0" fontId="26" fillId="3" borderId="13" xfId="0" applyFont="1" applyFill="1" applyBorder="1" applyAlignment="1">
      <alignment horizontal="centerContinuous"/>
    </xf>
    <xf numFmtId="0" fontId="25" fillId="3" borderId="4" xfId="0" applyFont="1" applyFill="1" applyBorder="1"/>
    <xf numFmtId="0" fontId="25" fillId="2" borderId="14" xfId="0" applyFont="1" applyFill="1" applyBorder="1" applyAlignment="1">
      <alignment wrapText="1"/>
    </xf>
    <xf numFmtId="0" fontId="26" fillId="0" borderId="0" xfId="0" applyFont="1" applyAlignment="1">
      <alignment horizontal="center" wrapText="1"/>
    </xf>
    <xf numFmtId="0" fontId="26" fillId="0" borderId="6" xfId="0" applyFont="1" applyBorder="1" applyAlignment="1">
      <alignment horizontal="center"/>
    </xf>
    <xf numFmtId="0" fontId="26" fillId="0" borderId="5" xfId="0" applyFont="1" applyBorder="1"/>
    <xf numFmtId="164" fontId="25" fillId="0" borderId="0" xfId="0" applyNumberFormat="1" applyFont="1"/>
    <xf numFmtId="164" fontId="25" fillId="0" borderId="6" xfId="0" applyNumberFormat="1" applyFont="1" applyBorder="1"/>
    <xf numFmtId="9" fontId="28" fillId="0" borderId="5" xfId="1" applyFont="1" applyBorder="1"/>
    <xf numFmtId="9" fontId="25" fillId="0" borderId="0" xfId="1" applyFont="1" applyBorder="1"/>
    <xf numFmtId="9" fontId="26" fillId="0" borderId="0" xfId="1" applyFont="1" applyBorder="1"/>
    <xf numFmtId="0" fontId="25" fillId="0" borderId="6" xfId="0" applyFont="1" applyBorder="1"/>
    <xf numFmtId="0" fontId="25" fillId="0" borderId="5" xfId="0" applyFont="1" applyBorder="1"/>
    <xf numFmtId="0" fontId="28" fillId="0" borderId="5" xfId="0" applyFont="1" applyBorder="1"/>
    <xf numFmtId="0" fontId="28" fillId="0" borderId="7" xfId="0" applyFont="1" applyBorder="1"/>
    <xf numFmtId="0" fontId="25" fillId="0" borderId="15" xfId="0" applyFont="1" applyBorder="1"/>
    <xf numFmtId="0" fontId="26" fillId="0" borderId="3" xfId="0" applyFont="1" applyBorder="1"/>
    <xf numFmtId="0" fontId="25" fillId="3" borderId="13" xfId="0" applyFont="1" applyFill="1" applyBorder="1"/>
    <xf numFmtId="164" fontId="25" fillId="2" borderId="6" xfId="0" applyNumberFormat="1" applyFont="1" applyFill="1" applyBorder="1"/>
    <xf numFmtId="164" fontId="25" fillId="3" borderId="6" xfId="0" applyNumberFormat="1" applyFont="1" applyFill="1" applyBorder="1"/>
    <xf numFmtId="0" fontId="25" fillId="3" borderId="6" xfId="0" applyFont="1" applyFill="1" applyBorder="1"/>
    <xf numFmtId="0" fontId="25" fillId="2" borderId="20" xfId="0" applyFont="1" applyFill="1" applyBorder="1"/>
    <xf numFmtId="0" fontId="26" fillId="0" borderId="7" xfId="0" applyFont="1" applyBorder="1"/>
    <xf numFmtId="9" fontId="25" fillId="3" borderId="8" xfId="1" applyFont="1" applyFill="1" applyBorder="1"/>
    <xf numFmtId="0" fontId="25" fillId="0" borderId="7" xfId="0" applyFont="1" applyBorder="1"/>
    <xf numFmtId="0" fontId="25" fillId="0" borderId="8" xfId="0" applyFont="1" applyBorder="1"/>
    <xf numFmtId="0" fontId="26" fillId="0" borderId="0" xfId="0" applyFont="1" applyAlignment="1">
      <alignment wrapText="1"/>
    </xf>
    <xf numFmtId="0" fontId="0" fillId="2" borderId="6" xfId="0" applyFill="1" applyBorder="1" applyAlignment="1">
      <alignment horizontal="center"/>
    </xf>
    <xf numFmtId="165" fontId="25" fillId="0" borderId="0" xfId="0" applyNumberFormat="1" applyFont="1"/>
    <xf numFmtId="9" fontId="25" fillId="2" borderId="20" xfId="1" applyFont="1" applyFill="1" applyBorder="1"/>
    <xf numFmtId="172" fontId="25" fillId="0" borderId="0" xfId="0" applyNumberFormat="1" applyFont="1"/>
    <xf numFmtId="171" fontId="25" fillId="3" borderId="4" xfId="0" applyNumberFormat="1" applyFont="1" applyFill="1" applyBorder="1"/>
    <xf numFmtId="0" fontId="25" fillId="0" borderId="5" xfId="0" applyFont="1" applyBorder="1" applyAlignment="1">
      <alignment horizontal="centerContinuous"/>
    </xf>
    <xf numFmtId="0" fontId="25" fillId="0" borderId="0" xfId="0" applyFont="1" applyAlignment="1">
      <alignment horizontal="centerContinuous"/>
    </xf>
    <xf numFmtId="171" fontId="27" fillId="0" borderId="0" xfId="0" applyNumberFormat="1" applyFont="1"/>
    <xf numFmtId="171" fontId="25" fillId="0" borderId="0" xfId="0" applyNumberFormat="1" applyFont="1"/>
    <xf numFmtId="171" fontId="25" fillId="0" borderId="6" xfId="0" applyNumberFormat="1" applyFont="1" applyBorder="1"/>
    <xf numFmtId="171" fontId="25" fillId="0" borderId="0" xfId="1" applyNumberFormat="1" applyFont="1" applyBorder="1"/>
    <xf numFmtId="171" fontId="27" fillId="0" borderId="15" xfId="0" applyNumberFormat="1" applyFont="1" applyBorder="1"/>
    <xf numFmtId="171" fontId="25" fillId="0" borderId="15" xfId="0" applyNumberFormat="1" applyFont="1" applyBorder="1"/>
    <xf numFmtId="171" fontId="30" fillId="0" borderId="15" xfId="0" applyNumberFormat="1" applyFont="1" applyBorder="1"/>
    <xf numFmtId="171" fontId="25" fillId="0" borderId="15" xfId="1" applyNumberFormat="1" applyFont="1" applyBorder="1"/>
    <xf numFmtId="171" fontId="25" fillId="0" borderId="8" xfId="0" applyNumberFormat="1" applyFont="1" applyBorder="1"/>
    <xf numFmtId="171" fontId="25" fillId="3" borderId="13" xfId="0" applyNumberFormat="1" applyFont="1" applyFill="1" applyBorder="1"/>
    <xf numFmtId="172" fontId="25" fillId="3" borderId="0" xfId="0" applyNumberFormat="1" applyFont="1" applyFill="1"/>
    <xf numFmtId="0" fontId="0" fillId="2" borderId="20" xfId="0" applyFill="1" applyBorder="1"/>
    <xf numFmtId="10" fontId="3" fillId="0" borderId="6" xfId="1" applyNumberFormat="1" applyFont="1" applyBorder="1" applyAlignment="1">
      <alignment horizontal="center"/>
    </xf>
    <xf numFmtId="171" fontId="27" fillId="3" borderId="6" xfId="0" applyNumberFormat="1" applyFont="1" applyFill="1" applyBorder="1"/>
    <xf numFmtId="171" fontId="25" fillId="3" borderId="6" xfId="0" applyNumberFormat="1" applyFont="1" applyFill="1" applyBorder="1"/>
    <xf numFmtId="1" fontId="27" fillId="3" borderId="6" xfId="0" applyNumberFormat="1" applyFont="1" applyFill="1" applyBorder="1" applyAlignment="1">
      <alignment horizontal="center"/>
    </xf>
    <xf numFmtId="168" fontId="11" fillId="2" borderId="20" xfId="0" applyNumberFormat="1" applyFont="1" applyFill="1" applyBorder="1"/>
    <xf numFmtId="0" fontId="5" fillId="2" borderId="20" xfId="0" applyFont="1" applyFill="1" applyBorder="1"/>
    <xf numFmtId="0" fontId="0" fillId="2" borderId="0" xfId="0" applyFill="1"/>
    <xf numFmtId="0" fontId="25" fillId="2" borderId="0" xfId="0" applyFont="1" applyFill="1"/>
    <xf numFmtId="0" fontId="33" fillId="0" borderId="5" xfId="0" applyFont="1" applyBorder="1"/>
    <xf numFmtId="0" fontId="34" fillId="0" borderId="5" xfId="0" applyFont="1" applyBorder="1"/>
    <xf numFmtId="0" fontId="29" fillId="0" borderId="0" xfId="0" applyFont="1" applyAlignment="1">
      <alignment horizontal="left" vertical="top"/>
    </xf>
    <xf numFmtId="165" fontId="35" fillId="0" borderId="22" xfId="0" applyNumberFormat="1" applyFont="1" applyBorder="1" applyAlignment="1">
      <alignment vertical="center"/>
    </xf>
    <xf numFmtId="165" fontId="35" fillId="0" borderId="6" xfId="0" applyNumberFormat="1" applyFont="1" applyBorder="1" applyAlignment="1">
      <alignment vertical="center"/>
    </xf>
    <xf numFmtId="9" fontId="19" fillId="0" borderId="21" xfId="1" applyFont="1" applyBorder="1"/>
    <xf numFmtId="9" fontId="19" fillId="0" borderId="22" xfId="1" applyFont="1" applyBorder="1"/>
    <xf numFmtId="165" fontId="35" fillId="4" borderId="22" xfId="1" applyNumberFormat="1" applyFont="1" applyFill="1" applyBorder="1" applyAlignment="1"/>
    <xf numFmtId="165" fontId="35" fillId="4" borderId="22" xfId="0" applyNumberFormat="1" applyFont="1" applyFill="1" applyBorder="1"/>
    <xf numFmtId="165" fontId="35" fillId="4" borderId="6" xfId="0" applyNumberFormat="1" applyFont="1" applyFill="1" applyBorder="1"/>
    <xf numFmtId="165" fontId="35" fillId="4" borderId="22" xfId="0" applyNumberFormat="1" applyFont="1" applyFill="1" applyBorder="1" applyAlignment="1">
      <alignment vertical="center"/>
    </xf>
    <xf numFmtId="165" fontId="35" fillId="4" borderId="6" xfId="0" applyNumberFormat="1" applyFont="1" applyFill="1" applyBorder="1" applyAlignment="1">
      <alignment vertical="center"/>
    </xf>
    <xf numFmtId="2" fontId="35" fillId="4" borderId="22" xfId="0" applyNumberFormat="1" applyFont="1" applyFill="1" applyBorder="1" applyAlignment="1">
      <alignment vertical="center"/>
    </xf>
    <xf numFmtId="2" fontId="35" fillId="4" borderId="6" xfId="0" applyNumberFormat="1" applyFont="1" applyFill="1" applyBorder="1" applyAlignment="1">
      <alignment vertical="center"/>
    </xf>
    <xf numFmtId="165" fontId="35" fillId="4" borderId="23" xfId="0" applyNumberFormat="1" applyFont="1" applyFill="1" applyBorder="1" applyAlignment="1">
      <alignment vertical="center"/>
    </xf>
    <xf numFmtId="165" fontId="35" fillId="4" borderId="8" xfId="0" applyNumberFormat="1" applyFont="1" applyFill="1" applyBorder="1" applyAlignment="1">
      <alignment vertical="center"/>
    </xf>
    <xf numFmtId="10" fontId="23" fillId="4" borderId="22" xfId="1" applyNumberFormat="1" applyFont="1" applyFill="1" applyBorder="1"/>
    <xf numFmtId="170" fontId="23" fillId="4" borderId="22" xfId="1" applyNumberFormat="1" applyFont="1" applyFill="1" applyBorder="1"/>
    <xf numFmtId="165" fontId="23" fillId="4" borderId="23" xfId="1" applyNumberFormat="1" applyFont="1" applyFill="1" applyBorder="1"/>
    <xf numFmtId="0" fontId="0" fillId="3" borderId="18" xfId="0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/>
    </xf>
    <xf numFmtId="165" fontId="36" fillId="2" borderId="22" xfId="0" applyNumberFormat="1" applyFont="1" applyFill="1" applyBorder="1" applyAlignment="1">
      <alignment vertical="center"/>
    </xf>
    <xf numFmtId="0" fontId="39" fillId="0" borderId="25" xfId="0" applyFont="1" applyBorder="1"/>
    <xf numFmtId="0" fontId="0" fillId="0" borderId="25" xfId="0" applyBorder="1"/>
    <xf numFmtId="0" fontId="39" fillId="0" borderId="26" xfId="0" applyFont="1" applyBorder="1"/>
    <xf numFmtId="0" fontId="0" fillId="0" borderId="27" xfId="0" applyBorder="1"/>
    <xf numFmtId="0" fontId="0" fillId="0" borderId="28" xfId="0" applyBorder="1"/>
    <xf numFmtId="0" fontId="43" fillId="5" borderId="27" xfId="0" applyFont="1" applyFill="1" applyBorder="1"/>
    <xf numFmtId="0" fontId="43" fillId="5" borderId="0" xfId="0" applyFont="1" applyFill="1"/>
    <xf numFmtId="0" fontId="43" fillId="5" borderId="27" xfId="0" applyFont="1" applyFill="1" applyBorder="1" applyAlignment="1">
      <alignment horizontal="center"/>
    </xf>
    <xf numFmtId="0" fontId="43" fillId="5" borderId="0" xfId="0" applyFont="1" applyFill="1" applyAlignment="1">
      <alignment horizontal="center"/>
    </xf>
    <xf numFmtId="0" fontId="43" fillId="5" borderId="0" xfId="0" applyFont="1" applyFill="1" applyAlignment="1">
      <alignment horizontal="center" vertical="center" wrapText="1"/>
    </xf>
    <xf numFmtId="0" fontId="43" fillId="5" borderId="0" xfId="0" applyFont="1" applyFill="1" applyAlignment="1">
      <alignment horizontal="center" vertical="center"/>
    </xf>
    <xf numFmtId="0" fontId="43" fillId="5" borderId="28" xfId="0" applyFont="1" applyFill="1" applyBorder="1" applyAlignment="1">
      <alignment horizontal="center" vertical="center"/>
    </xf>
    <xf numFmtId="0" fontId="41" fillId="0" borderId="27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0" fontId="39" fillId="6" borderId="27" xfId="0" applyFont="1" applyFill="1" applyBorder="1"/>
    <xf numFmtId="0" fontId="39" fillId="6" borderId="0" xfId="0" applyFont="1" applyFill="1" applyAlignment="1">
      <alignment horizontal="center"/>
    </xf>
    <xf numFmtId="174" fontId="44" fillId="6" borderId="0" xfId="0" applyNumberFormat="1" applyFont="1" applyFill="1"/>
    <xf numFmtId="174" fontId="39" fillId="6" borderId="0" xfId="0" applyNumberFormat="1" applyFont="1" applyFill="1"/>
    <xf numFmtId="176" fontId="39" fillId="6" borderId="0" xfId="0" applyNumberFormat="1" applyFont="1" applyFill="1"/>
    <xf numFmtId="176" fontId="39" fillId="6" borderId="28" xfId="0" applyNumberFormat="1" applyFont="1" applyFill="1" applyBorder="1"/>
    <xf numFmtId="0" fontId="33" fillId="0" borderId="27" xfId="0" applyFont="1" applyBorder="1"/>
    <xf numFmtId="0" fontId="39" fillId="0" borderId="0" xfId="0" applyFont="1" applyAlignment="1">
      <alignment horizontal="center"/>
    </xf>
    <xf numFmtId="173" fontId="44" fillId="0" borderId="0" xfId="0" applyNumberFormat="1" applyFont="1"/>
    <xf numFmtId="174" fontId="44" fillId="0" borderId="0" xfId="0" applyNumberFormat="1" applyFont="1"/>
    <xf numFmtId="174" fontId="39" fillId="0" borderId="0" xfId="0" applyNumberFormat="1" applyFont="1"/>
    <xf numFmtId="176" fontId="39" fillId="0" borderId="0" xfId="0" applyNumberFormat="1" applyFont="1"/>
    <xf numFmtId="176" fontId="39" fillId="0" borderId="28" xfId="0" applyNumberFormat="1" applyFont="1" applyBorder="1"/>
    <xf numFmtId="0" fontId="39" fillId="6" borderId="0" xfId="0" applyFont="1" applyFill="1"/>
    <xf numFmtId="0" fontId="37" fillId="6" borderId="0" xfId="0" applyFont="1" applyFill="1"/>
    <xf numFmtId="0" fontId="37" fillId="6" borderId="27" xfId="0" applyFont="1" applyFill="1" applyBorder="1"/>
    <xf numFmtId="176" fontId="37" fillId="6" borderId="0" xfId="0" applyNumberFormat="1" applyFont="1" applyFill="1"/>
    <xf numFmtId="176" fontId="37" fillId="6" borderId="28" xfId="0" applyNumberFormat="1" applyFont="1" applyFill="1" applyBorder="1"/>
    <xf numFmtId="0" fontId="42" fillId="5" borderId="0" xfId="0" applyFont="1" applyFill="1"/>
    <xf numFmtId="175" fontId="39" fillId="0" borderId="0" xfId="0" applyNumberFormat="1" applyFont="1"/>
    <xf numFmtId="174" fontId="40" fillId="0" borderId="0" xfId="0" applyNumberFormat="1" applyFont="1"/>
    <xf numFmtId="0" fontId="45" fillId="3" borderId="24" xfId="0" applyFont="1" applyFill="1" applyBorder="1"/>
    <xf numFmtId="0" fontId="43" fillId="3" borderId="25" xfId="0" applyFont="1" applyFill="1" applyBorder="1"/>
    <xf numFmtId="0" fontId="42" fillId="0" borderId="0" xfId="0" applyFont="1" applyAlignment="1">
      <alignment horizontal="center" vertical="center"/>
    </xf>
    <xf numFmtId="0" fontId="39" fillId="6" borderId="28" xfId="0" applyFont="1" applyFill="1" applyBorder="1"/>
    <xf numFmtId="0" fontId="43" fillId="5" borderId="29" xfId="0" applyFont="1" applyFill="1" applyBorder="1" applyAlignment="1">
      <alignment horizontal="center"/>
    </xf>
    <xf numFmtId="0" fontId="42" fillId="3" borderId="29" xfId="0" applyFont="1" applyFill="1" applyBorder="1"/>
    <xf numFmtId="0" fontId="42" fillId="3" borderId="30" xfId="0" applyFont="1" applyFill="1" applyBorder="1"/>
    <xf numFmtId="0" fontId="39" fillId="0" borderId="28" xfId="0" applyFont="1" applyBorder="1"/>
    <xf numFmtId="0" fontId="2" fillId="0" borderId="0" xfId="0" applyFont="1" applyAlignment="1">
      <alignment horizontal="center" vertical="top"/>
    </xf>
    <xf numFmtId="175" fontId="37" fillId="6" borderId="0" xfId="0" applyNumberFormat="1" applyFont="1" applyFill="1"/>
    <xf numFmtId="174" fontId="38" fillId="6" borderId="0" xfId="0" applyNumberFormat="1" applyFont="1" applyFill="1"/>
    <xf numFmtId="0" fontId="33" fillId="3" borderId="0" xfId="0" applyFont="1" applyFill="1"/>
    <xf numFmtId="0" fontId="37" fillId="6" borderId="5" xfId="0" applyFont="1" applyFill="1" applyBorder="1"/>
    <xf numFmtId="0" fontId="0" fillId="3" borderId="0" xfId="0" applyFill="1"/>
    <xf numFmtId="0" fontId="33" fillId="0" borderId="7" xfId="0" applyFont="1" applyBorder="1"/>
    <xf numFmtId="0" fontId="33" fillId="3" borderId="15" xfId="0" applyFont="1" applyFill="1" applyBorder="1"/>
    <xf numFmtId="0" fontId="0" fillId="3" borderId="15" xfId="0" applyFill="1" applyBorder="1"/>
    <xf numFmtId="0" fontId="22" fillId="3" borderId="0" xfId="0" applyFont="1" applyFill="1"/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5" fillId="4" borderId="35" xfId="0" applyFont="1" applyFill="1" applyBorder="1"/>
    <xf numFmtId="0" fontId="5" fillId="4" borderId="33" xfId="0" applyFont="1" applyFill="1" applyBorder="1" applyAlignment="1">
      <alignment horizontal="right"/>
    </xf>
    <xf numFmtId="0" fontId="5" fillId="4" borderId="34" xfId="0" applyFont="1" applyFill="1" applyBorder="1" applyAlignment="1">
      <alignment horizontal="right"/>
    </xf>
    <xf numFmtId="0" fontId="5" fillId="4" borderId="38" xfId="0" applyFont="1" applyFill="1" applyBorder="1"/>
    <xf numFmtId="0" fontId="48" fillId="4" borderId="32" xfId="0" applyFont="1" applyFill="1" applyBorder="1"/>
    <xf numFmtId="9" fontId="31" fillId="0" borderId="0" xfId="1" applyFont="1"/>
    <xf numFmtId="0" fontId="31" fillId="0" borderId="2" xfId="0" applyFont="1" applyBorder="1" applyAlignment="1">
      <alignment horizontal="center"/>
    </xf>
    <xf numFmtId="0" fontId="47" fillId="0" borderId="2" xfId="0" applyFont="1" applyBorder="1" applyAlignment="1">
      <alignment horizontal="center"/>
    </xf>
    <xf numFmtId="177" fontId="25" fillId="0" borderId="0" xfId="0" applyNumberFormat="1" applyFont="1"/>
    <xf numFmtId="165" fontId="29" fillId="0" borderId="0" xfId="1" applyNumberFormat="1" applyFont="1" applyAlignment="1">
      <alignment horizontal="left" vertical="top"/>
    </xf>
    <xf numFmtId="172" fontId="15" fillId="0" borderId="1" xfId="0" applyNumberFormat="1" applyFont="1" applyBorder="1"/>
    <xf numFmtId="172" fontId="15" fillId="0" borderId="0" xfId="0" applyNumberFormat="1" applyFont="1"/>
    <xf numFmtId="172" fontId="5" fillId="0" borderId="0" xfId="0" applyNumberFormat="1" applyFont="1"/>
    <xf numFmtId="172" fontId="9" fillId="0" borderId="0" xfId="0" applyNumberFormat="1" applyFont="1"/>
    <xf numFmtId="172" fontId="9" fillId="0" borderId="16" xfId="0" applyNumberFormat="1" applyFont="1" applyBorder="1"/>
    <xf numFmtId="171" fontId="0" fillId="0" borderId="8" xfId="0" applyNumberFormat="1" applyBorder="1"/>
    <xf numFmtId="171" fontId="49" fillId="0" borderId="0" xfId="0" applyNumberFormat="1" applyFont="1"/>
    <xf numFmtId="164" fontId="25" fillId="0" borderId="15" xfId="0" applyNumberFormat="1" applyFont="1" applyBorder="1"/>
    <xf numFmtId="9" fontId="32" fillId="0" borderId="22" xfId="1" applyFont="1" applyBorder="1"/>
    <xf numFmtId="171" fontId="11" fillId="4" borderId="36" xfId="0" applyNumberFormat="1" applyFont="1" applyFill="1" applyBorder="1"/>
    <xf numFmtId="171" fontId="5" fillId="4" borderId="36" xfId="0" applyNumberFormat="1" applyFont="1" applyFill="1" applyBorder="1"/>
    <xf numFmtId="164" fontId="11" fillId="4" borderId="37" xfId="0" applyNumberFormat="1" applyFont="1" applyFill="1" applyBorder="1"/>
    <xf numFmtId="1" fontId="27" fillId="3" borderId="0" xfId="0" applyNumberFormat="1" applyFont="1" applyFill="1" applyAlignment="1">
      <alignment horizontal="center"/>
    </xf>
    <xf numFmtId="164" fontId="44" fillId="6" borderId="0" xfId="0" applyNumberFormat="1" applyFont="1" applyFill="1"/>
    <xf numFmtId="164" fontId="44" fillId="0" borderId="0" xfId="0" applyNumberFormat="1" applyFont="1"/>
    <xf numFmtId="164" fontId="39" fillId="0" borderId="0" xfId="0" applyNumberFormat="1" applyFont="1"/>
    <xf numFmtId="164" fontId="39" fillId="0" borderId="28" xfId="0" applyNumberFormat="1" applyFont="1" applyBorder="1"/>
    <xf numFmtId="164" fontId="37" fillId="6" borderId="0" xfId="0" applyNumberFormat="1" applyFont="1" applyFill="1"/>
    <xf numFmtId="164" fontId="37" fillId="6" borderId="6" xfId="0" applyNumberFormat="1" applyFont="1" applyFill="1" applyBorder="1"/>
    <xf numFmtId="164" fontId="0" fillId="3" borderId="6" xfId="0" applyNumberFormat="1" applyFill="1" applyBorder="1"/>
    <xf numFmtId="164" fontId="0" fillId="3" borderId="8" xfId="0" applyNumberFormat="1" applyFill="1" applyBorder="1"/>
    <xf numFmtId="1" fontId="50" fillId="0" borderId="0" xfId="0" applyNumberFormat="1" applyFont="1" applyAlignment="1">
      <alignment horizontal="center"/>
    </xf>
    <xf numFmtId="171" fontId="44" fillId="0" borderId="0" xfId="0" applyNumberFormat="1" applyFont="1"/>
    <xf numFmtId="171" fontId="44" fillId="6" borderId="0" xfId="0" applyNumberFormat="1" applyFont="1" applyFill="1"/>
    <xf numFmtId="178" fontId="37" fillId="6" borderId="28" xfId="0" applyNumberFormat="1" applyFont="1" applyFill="1" applyBorder="1"/>
    <xf numFmtId="176" fontId="39" fillId="0" borderId="28" xfId="0" applyNumberFormat="1" applyFont="1" applyBorder="1" applyAlignment="1">
      <alignment horizontal="center"/>
    </xf>
    <xf numFmtId="176" fontId="39" fillId="0" borderId="0" xfId="0" applyNumberFormat="1" applyFont="1" applyAlignment="1">
      <alignment horizontal="center"/>
    </xf>
    <xf numFmtId="172" fontId="39" fillId="0" borderId="0" xfId="0" applyNumberFormat="1" applyFont="1"/>
    <xf numFmtId="164" fontId="11" fillId="4" borderId="31" xfId="0" applyNumberFormat="1" applyFont="1" applyFill="1" applyBorder="1"/>
    <xf numFmtId="164" fontId="11" fillId="4" borderId="39" xfId="0" applyNumberFormat="1" applyFont="1" applyFill="1" applyBorder="1"/>
    <xf numFmtId="0" fontId="22" fillId="3" borderId="3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RELATIVE VS INTRINSIC TERMINAL VALUE</a:t>
            </a:r>
          </a:p>
        </c:rich>
      </c:tx>
      <c:layout>
        <c:manualLayout>
          <c:xMode val="edge"/>
          <c:yMode val="edge"/>
          <c:x val="0.16391919760029997"/>
          <c:y val="4.02137696037444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DCF!$K$30:$K$31</c:f>
              <c:strCache>
                <c:ptCount val="2"/>
                <c:pt idx="0">
                  <c:v>MULTIPLE METHOD</c:v>
                </c:pt>
                <c:pt idx="1">
                  <c:v>PERPETUITY METHOD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DCF!$K$30:$K$31</c:f>
              <c:strCache>
                <c:ptCount val="2"/>
                <c:pt idx="0">
                  <c:v>MULTIPLE METHOD</c:v>
                </c:pt>
                <c:pt idx="1">
                  <c:v>PERPETUITY METHOD</c:v>
                </c:pt>
              </c:strCache>
            </c:strRef>
          </c:cat>
          <c:val>
            <c:numRef>
              <c:f>DCF!$M$30:$M$31</c:f>
              <c:numCache>
                <c:formatCode>_-[$$-409]* #,##0_ ;_-[$$-409]* \-#,##0\ ;_-[$$-409]* "-"??_ ;_-@_ </c:formatCode>
                <c:ptCount val="2"/>
                <c:pt idx="0">
                  <c:v>173627268.97617328</c:v>
                </c:pt>
                <c:pt idx="1">
                  <c:v>210308851.01022148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B-40B6-98BC-659B775A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40520184"/>
        <c:axId val="640520544"/>
      </c:barChart>
      <c:catAx>
        <c:axId val="640520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520544"/>
        <c:crosses val="autoZero"/>
        <c:auto val="1"/>
        <c:lblAlgn val="ctr"/>
        <c:lblOffset val="100"/>
        <c:noMultiLvlLbl val="0"/>
      </c:catAx>
      <c:valAx>
        <c:axId val="640520544"/>
        <c:scaling>
          <c:orientation val="minMax"/>
        </c:scaling>
        <c:delete val="0"/>
        <c:axPos val="l"/>
        <c:numFmt formatCode="_-[$$-409]* #,##0_ ;_-[$$-409]* \-#,##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520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OPERATING INCOME FORECAST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REVENUE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DCF!$J$5:$N$5</c:f>
              <c:strCache>
                <c:ptCount val="5"/>
                <c:pt idx="0">
                  <c:v>2025A&amp;F</c:v>
                </c:pt>
                <c:pt idx="1">
                  <c:v>2026F</c:v>
                </c:pt>
                <c:pt idx="2">
                  <c:v>2027F</c:v>
                </c:pt>
                <c:pt idx="3">
                  <c:v>2028F</c:v>
                </c:pt>
                <c:pt idx="4">
                  <c:v>2029F</c:v>
                </c:pt>
              </c:strCache>
            </c:strRef>
          </c:cat>
          <c:val>
            <c:numRef>
              <c:f>DCF!$J$6:$N$6</c:f>
              <c:numCache>
                <c:formatCode>_-[$$-409]* #,##0.0_ ;_-[$$-409]* \-#,##0.0\ ;_-[$$-409]* "-"??_ ;_-@_ </c:formatCode>
                <c:ptCount val="5"/>
                <c:pt idx="0">
                  <c:v>50794590</c:v>
                </c:pt>
                <c:pt idx="1">
                  <c:v>58667751.450000003</c:v>
                </c:pt>
                <c:pt idx="2">
                  <c:v>67761252.92475</c:v>
                </c:pt>
                <c:pt idx="3">
                  <c:v>78264247.128086254</c:v>
                </c:pt>
                <c:pt idx="4">
                  <c:v>90395205.432939619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52-4D1A-AFCC-1464CB30B0E5}"/>
            </c:ext>
          </c:extLst>
        </c:ser>
        <c:ser>
          <c:idx val="1"/>
          <c:order val="2"/>
          <c:tx>
            <c:strRef>
              <c:f>DCF!$C$12</c:f>
              <c:strCache>
                <c:ptCount val="1"/>
                <c:pt idx="0">
                  <c:v>TOTAL EXPENSES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val>
            <c:numRef>
              <c:f>DCF!$J$12:$N$12</c:f>
              <c:numCache>
                <c:formatCode>_-[$$-409]* #,##0.0_ ;_-[$$-409]* \-#,##0.0\ ;_-[$$-409]* "-"??_ ;_-@_ </c:formatCode>
                <c:ptCount val="5"/>
                <c:pt idx="0">
                  <c:v>48001910.891980879</c:v>
                </c:pt>
                <c:pt idx="1">
                  <c:v>54563263.08023791</c:v>
                </c:pt>
                <c:pt idx="2">
                  <c:v>62053730.457674794</c:v>
                </c:pt>
                <c:pt idx="3">
                  <c:v>70608536.438614383</c:v>
                </c:pt>
                <c:pt idx="4">
                  <c:v>80382985.122599617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F-42F6-94A7-8AB7DFBC2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6796360"/>
        <c:axId val="686792760"/>
      </c:barChart>
      <c:lineChart>
        <c:grouping val="standard"/>
        <c:varyColors val="0"/>
        <c:ser>
          <c:idx val="8"/>
          <c:order val="1"/>
          <c:tx>
            <c:v>EBIT (OPERATING INCOME)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>
                <a:noFill/>
              </a:ln>
              <a:effectLst/>
            </c:spPr>
          </c:marker>
          <c:cat>
            <c:strRef>
              <c:f>DCF!$J$5:$N$5</c:f>
              <c:strCache>
                <c:ptCount val="5"/>
                <c:pt idx="0">
                  <c:v>2025A&amp;F</c:v>
                </c:pt>
                <c:pt idx="1">
                  <c:v>2026F</c:v>
                </c:pt>
                <c:pt idx="2">
                  <c:v>2027F</c:v>
                </c:pt>
                <c:pt idx="3">
                  <c:v>2028F</c:v>
                </c:pt>
                <c:pt idx="4">
                  <c:v>2029F</c:v>
                </c:pt>
              </c:strCache>
            </c:strRef>
          </c:cat>
          <c:val>
            <c:numRef>
              <c:f>DCF!$J$15:$N$15</c:f>
              <c:numCache>
                <c:formatCode>_-[$$-409]* #,##0.0_ ;_-[$$-409]* \-#,##0.0\ ;_-[$$-409]* "-"??_ ;_-@_ </c:formatCode>
                <c:ptCount val="5"/>
                <c:pt idx="0">
                  <c:v>2792679.108019121</c:v>
                </c:pt>
                <c:pt idx="1">
                  <c:v>4104488.3697620928</c:v>
                </c:pt>
                <c:pt idx="2" formatCode="_-[$$-409]* #,##0.00_ ;_-[$$-409]* \-#,##0.00\ ;_-[$$-409]* &quot;-&quot;??_ ;_-@_ ">
                  <c:v>5707522.4670752063</c:v>
                </c:pt>
                <c:pt idx="3" formatCode="_-[$$-409]* #,##0.00_ ;_-[$$-409]* \-#,##0.00\ ;_-[$$-409]* &quot;-&quot;??_ ;_-@_ ">
                  <c:v>7655710.6894718707</c:v>
                </c:pt>
                <c:pt idx="4" formatCode="_-[$$-409]* #,##0.00_ ;_-[$$-409]* \-#,##0.00\ ;_-[$$-409]* &quot;-&quot;??_ ;_-@_ ">
                  <c:v>10012220.310340002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052-4D1A-AFCC-1464CB30B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796360"/>
        <c:axId val="686792760"/>
      </c:lineChart>
      <c:catAx>
        <c:axId val="686796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6792760"/>
        <c:crosses val="autoZero"/>
        <c:auto val="1"/>
        <c:lblAlgn val="ctr"/>
        <c:lblOffset val="100"/>
        <c:noMultiLvlLbl val="0"/>
      </c:catAx>
      <c:valAx>
        <c:axId val="68679276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_-[$$-409]* #,##0.0_ ;_-[$$-409]* \-#,##0.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6796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tr-TR"/>
              <a:t>Valuation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DCF!$D$50</c:f>
              <c:strCache>
                <c:ptCount val="1"/>
                <c:pt idx="0">
                  <c:v>Worst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5.0837925892547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722-4F57-B70A-1AE885FB4B8D}"/>
                </c:ext>
              </c:extLst>
            </c:dLbl>
            <c:dLbl>
              <c:idx val="1"/>
              <c:layout>
                <c:manualLayout>
                  <c:x val="-1.4681178416455487E-16"/>
                  <c:y val="-3.774475944278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722-4F57-B70A-1AE885FB4B8D}"/>
                </c:ext>
              </c:extLst>
            </c:dLbl>
            <c:numFmt formatCode="[$$-409]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DCF!$C$51:$C$52</c:f>
              <c:strCache>
                <c:ptCount val="2"/>
                <c:pt idx="0">
                  <c:v>Comparable Companies</c:v>
                </c:pt>
                <c:pt idx="1">
                  <c:v>DCF</c:v>
                </c:pt>
              </c:strCache>
            </c:strRef>
          </c:cat>
          <c:val>
            <c:numRef>
              <c:f>DCF!$D$51:$D$52</c:f>
              <c:numCache>
                <c:formatCode>_-[$$-409]* #,##0.0_ ;_-[$$-409]* \-#,##0.0\ ;_-[$$-409]* "-"??_ ;_-@_ </c:formatCode>
                <c:ptCount val="2"/>
                <c:pt idx="0" formatCode="_-[$$-409]* #,##0.00_ ;_-[$$-409]* \-#,##0.00\ ;_-[$$-409]* &quot;-&quot;??_ ;_-@_ ">
                  <c:v>75.900000000000006</c:v>
                </c:pt>
                <c:pt idx="1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722-4F57-B70A-1AE885FB4B8D}"/>
            </c:ext>
          </c:extLst>
        </c:ser>
        <c:ser>
          <c:idx val="1"/>
          <c:order val="1"/>
          <c:tx>
            <c:strRef>
              <c:f>DCF!$E$50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DCF!$C$51:$C$52</c:f>
              <c:strCache>
                <c:ptCount val="2"/>
                <c:pt idx="0">
                  <c:v>Comparable Companies</c:v>
                </c:pt>
                <c:pt idx="1">
                  <c:v>DCF</c:v>
                </c:pt>
              </c:strCache>
            </c:strRef>
          </c:cat>
          <c:val>
            <c:numRef>
              <c:f>DCF!$E$51:$E$52</c:f>
              <c:numCache>
                <c:formatCode>_-[$$-409]* #,##0.0_ ;_-[$$-409]* \-#,##0.0\ ;_-[$$-409]* "-"??_ ;_-@_ </c:formatCode>
                <c:ptCount val="2"/>
                <c:pt idx="0" formatCode="_-[$$-409]* #,##0.00_ ;_-[$$-409]* \-#,##0.00\ ;_-[$$-409]* &quot;-&quot;??_ ;_-@_ ">
                  <c:v>85.55</c:v>
                </c:pt>
                <c:pt idx="1">
                  <c:v>69.8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722-4F57-B70A-1AE885FB4B8D}"/>
            </c:ext>
          </c:extLst>
        </c:ser>
        <c:ser>
          <c:idx val="2"/>
          <c:order val="2"/>
          <c:tx>
            <c:strRef>
              <c:f>DCF!$F$50</c:f>
              <c:strCache>
                <c:ptCount val="1"/>
                <c:pt idx="0">
                  <c:v>Best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805225524308247E-3"/>
                  <c:y val="-0.12572238313060852"/>
                </c:manualLayout>
              </c:layout>
              <c:numFmt formatCode="[$$-409]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723172034348385E-2"/>
                      <c:h val="6.036507940823800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E722-4F57-B70A-1AE885FB4B8D}"/>
                </c:ext>
              </c:extLst>
            </c:dLbl>
            <c:dLbl>
              <c:idx val="1"/>
              <c:layout>
                <c:manualLayout>
                  <c:x val="2.002002002002002E-3"/>
                  <c:y val="-0.168535904968857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722-4F57-B70A-1AE885FB4B8D}"/>
                </c:ext>
              </c:extLst>
            </c:dLbl>
            <c:numFmt formatCode="[$$-409]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DCF!$C$51:$C$52</c:f>
              <c:strCache>
                <c:ptCount val="2"/>
                <c:pt idx="0">
                  <c:v>Comparable Companies</c:v>
                </c:pt>
                <c:pt idx="1">
                  <c:v>DCF</c:v>
                </c:pt>
              </c:strCache>
            </c:strRef>
          </c:cat>
          <c:val>
            <c:numRef>
              <c:f>DCF!$F$51:$F$52</c:f>
              <c:numCache>
                <c:formatCode>_-[$$-409]* #,##0.00_ ;_-[$$-409]* \-#,##0.00\ ;_-[$$-409]* "-"??_ ;_-@_ </c:formatCode>
                <c:ptCount val="2"/>
                <c:pt idx="0">
                  <c:v>169.76</c:v>
                </c:pt>
                <c:pt idx="1">
                  <c:v>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722-4F57-B70A-1AE885FB4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2155704"/>
        <c:axId val="612159304"/>
      </c:barChart>
      <c:catAx>
        <c:axId val="612155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none" spc="0" normalizeH="0" baseline="0">
                <a:ln>
                  <a:solidFill>
                    <a:schemeClr val="tx1">
                      <a:lumMod val="15000"/>
                      <a:lumOff val="85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159304"/>
        <c:crosses val="autoZero"/>
        <c:auto val="1"/>
        <c:lblAlgn val="ctr"/>
        <c:lblOffset val="100"/>
        <c:noMultiLvlLbl val="0"/>
      </c:catAx>
      <c:valAx>
        <c:axId val="612159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[$$-409]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155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81643</xdr:colOff>
      <xdr:row>33</xdr:row>
      <xdr:rowOff>231322</xdr:rowOff>
    </xdr:from>
    <xdr:to>
      <xdr:col>10</xdr:col>
      <xdr:colOff>1374322</xdr:colOff>
      <xdr:row>48</xdr:row>
      <xdr:rowOff>54429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10F60F-8042-8876-F030-AEBCBB799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258536</xdr:colOff>
      <xdr:row>33</xdr:row>
      <xdr:rowOff>231321</xdr:rowOff>
    </xdr:from>
    <xdr:to>
      <xdr:col>15</xdr:col>
      <xdr:colOff>0</xdr:colOff>
      <xdr:row>48</xdr:row>
      <xdr:rowOff>54427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EBD7B7E-CAD2-9F8A-D9C2-93DDB85DB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1221920</xdr:colOff>
      <xdr:row>33</xdr:row>
      <xdr:rowOff>81644</xdr:rowOff>
    </xdr:from>
    <xdr:to>
      <xdr:col>5</xdr:col>
      <xdr:colOff>666748</xdr:colOff>
      <xdr:row>47</xdr:row>
      <xdr:rowOff>25854</xdr:rowOff>
    </xdr:to>
    <xdr:graphicFrame macro="">
      <xdr:nvGraphicFramePr>
        <xdr:cNvPr id="10" name="Chart 2">
          <a:extLst>
            <a:ext uri="{FF2B5EF4-FFF2-40B4-BE49-F238E27FC236}">
              <a16:creationId xmlns:a16="http://schemas.microsoft.com/office/drawing/2014/main" id="{BA8DDE63-BDDC-BA97-8DD0-3B50CE41C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592310</xdr:colOff>
      <xdr:row>42</xdr:row>
      <xdr:rowOff>237725</xdr:rowOff>
    </xdr:from>
    <xdr:to>
      <xdr:col>5</xdr:col>
      <xdr:colOff>581104</xdr:colOff>
      <xdr:row>43</xdr:row>
      <xdr:rowOff>4003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70E2E4E0-C0AE-B57C-6290-3A44B623591C}"/>
            </a:ext>
          </a:extLst>
        </xdr:cNvPr>
        <xdr:cNvCxnSpPr/>
      </xdr:nvCxnSpPr>
      <xdr:spPr>
        <a:xfrm>
          <a:off x="3014381" y="10769654"/>
          <a:ext cx="5635759" cy="11206"/>
        </a:xfrm>
        <a:prstGeom prst="line">
          <a:avLst/>
        </a:prstGeom>
        <a:ln>
          <a:solidFill>
            <a:schemeClr val="accent6">
              <a:lumMod val="75000"/>
            </a:schemeClr>
          </a:solidFill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29</xdr:col>
      <xdr:colOff>238125</xdr:colOff>
      <xdr:row>46</xdr:row>
      <xdr:rowOff>161365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341F65-C126-7C24-84B5-93B049CD85C3}"/>
            </a:ext>
          </a:extLst>
        </xdr:cNvPr>
        <xdr:cNvSpPr txBox="1"/>
      </xdr:nvSpPr>
      <xdr:spPr>
        <a:xfrm>
          <a:off x="0" y="0"/>
          <a:ext cx="17916525" cy="840889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2400" b="0">
              <a:solidFill>
                <a:schemeClr val="accent6"/>
              </a:solidFill>
            </a:rPr>
            <a:t>Year Established:2009</a:t>
          </a:r>
        </a:p>
        <a:p>
          <a:r>
            <a:rPr lang="tr-TR" sz="2400" b="0">
              <a:solidFill>
                <a:schemeClr val="accent6"/>
              </a:solidFill>
            </a:rPr>
            <a:t>Industry:Technology/Transportation</a:t>
          </a:r>
        </a:p>
        <a:p>
          <a:endParaRPr lang="tr-TR" sz="2400" b="0">
            <a:solidFill>
              <a:schemeClr val="accent6"/>
            </a:solidFill>
          </a:endParaRPr>
        </a:p>
        <a:p>
          <a:r>
            <a:rPr lang="tr-TR" sz="2400" b="0">
              <a:solidFill>
                <a:schemeClr val="accent6"/>
              </a:solidFill>
            </a:rPr>
            <a:t>General</a:t>
          </a:r>
          <a:r>
            <a:rPr lang="tr-TR" sz="2400" b="0" baseline="0">
              <a:solidFill>
                <a:schemeClr val="accent6"/>
              </a:solidFill>
            </a:rPr>
            <a:t> Notes:</a:t>
          </a:r>
          <a:endParaRPr lang="tr-TR" sz="2400" b="0">
            <a:solidFill>
              <a:schemeClr val="accent6"/>
            </a:solidFill>
          </a:endParaRPr>
        </a:p>
        <a:p>
          <a:r>
            <a:rPr lang="en-US" sz="2400" b="0"/>
            <a:t>Operates in over 70 countries and 10,000+ cities worldwide.</a:t>
          </a:r>
        </a:p>
        <a:p>
          <a:r>
            <a:rPr lang="en-US" sz="2400" b="0"/>
            <a:t>Business Model:</a:t>
          </a:r>
        </a:p>
        <a:p>
          <a:r>
            <a:rPr lang="en-US" sz="2400" b="0"/>
            <a:t>Connects riders and drivers via its app</a:t>
          </a:r>
          <a:r>
            <a:rPr lang="tr-TR" sz="2400" b="0"/>
            <a:t>(largest growth),</a:t>
          </a:r>
          <a:r>
            <a:rPr lang="en-US" sz="2400" b="0"/>
            <a:t> food delivery (Uber Eats) and logistics (Uber Freight)</a:t>
          </a:r>
          <a:r>
            <a:rPr lang="tr-TR" sz="2400" b="0"/>
            <a:t>(declines a little)</a:t>
          </a:r>
          <a:r>
            <a:rPr lang="en-US" sz="2400" b="0"/>
            <a:t>.</a:t>
          </a:r>
        </a:p>
        <a:p>
          <a:r>
            <a:rPr lang="en-US" sz="2400" b="0"/>
            <a:t>Takes a commission on transactions (usually 20–30%).</a:t>
          </a:r>
        </a:p>
        <a:p>
          <a:r>
            <a:rPr lang="en-US" sz="2400" b="0"/>
            <a:t>IPO: Went public in May 2019.</a:t>
          </a:r>
        </a:p>
        <a:p>
          <a:r>
            <a:rPr lang="en-US" sz="2400" b="0"/>
            <a:t>Recent Strategy Shifts:</a:t>
          </a:r>
        </a:p>
        <a:p>
          <a:r>
            <a:rPr lang="en-US" sz="2400" b="0"/>
            <a:t>Focus on profitability after years of losses.</a:t>
          </a:r>
        </a:p>
        <a:p>
          <a:r>
            <a:rPr lang="en-US" sz="2400" b="0"/>
            <a:t>Upfront pricing model boosted margins.</a:t>
          </a:r>
        </a:p>
        <a:p>
          <a:r>
            <a:rPr lang="en-US" sz="2400" b="0"/>
            <a:t>Heavy investment in autonomous vehicle partnerships </a:t>
          </a:r>
          <a:r>
            <a:rPr lang="tr-TR" sz="2400" b="0"/>
            <a:t>nowadays,</a:t>
          </a:r>
          <a:r>
            <a:rPr lang="tr-TR" sz="2400" b="0" baseline="0"/>
            <a:t> which was one of the main reasons(autonomous driving technology) for undervaluation of the company.</a:t>
          </a:r>
          <a:endParaRPr lang="en-US" sz="2400" b="0"/>
        </a:p>
        <a:p>
          <a:r>
            <a:rPr lang="en-US" sz="2400" b="0"/>
            <a:t>Controversies &amp; Challenges:</a:t>
          </a:r>
        </a:p>
        <a:p>
          <a:r>
            <a:rPr lang="en-US" sz="2400" b="0"/>
            <a:t>Faced lawsuits and regulatory battles over driver classification</a:t>
          </a:r>
          <a:r>
            <a:rPr lang="tr-TR" sz="2400" b="0"/>
            <a:t>.</a:t>
          </a:r>
        </a:p>
        <a:p>
          <a:r>
            <a:rPr lang="tr-TR" sz="2400" b="0"/>
            <a:t>Needs</a:t>
          </a:r>
          <a:r>
            <a:rPr lang="tr-TR" sz="2400" b="0" baseline="0"/>
            <a:t> to provide more incentives to keep drivers.</a:t>
          </a:r>
          <a:endParaRPr lang="en-US" sz="2400" b="0"/>
        </a:p>
        <a:p>
          <a:r>
            <a:rPr lang="en-US" sz="2400" b="0"/>
            <a:t>Criticism over surge pricing, safety incidents, and early aggressive corporate culture.</a:t>
          </a:r>
        </a:p>
        <a:p>
          <a:r>
            <a:rPr lang="en-US" sz="2400" b="0"/>
            <a:t>Current CEO is Dara Khosrowshahi (since 2017), who replaced co-founder Travis Kalanick after governance concerns.</a:t>
          </a:r>
        </a:p>
        <a:p>
          <a:r>
            <a:rPr lang="en-US" sz="2400" b="0"/>
            <a:t>Market Position: One of the largest mobility platforms globally, alongside rivals like Lyft (US), Bolt (Europe), and Grab (Asia).</a:t>
          </a:r>
          <a:endParaRPr lang="tr-TR" sz="2400" b="0"/>
        </a:p>
        <a:p>
          <a:r>
            <a:rPr lang="tr-TR" sz="2400" b="0"/>
            <a:t>I concluded UBER is overvalued,</a:t>
          </a:r>
          <a:r>
            <a:rPr lang="tr-TR" sz="2400" b="0" baseline="0"/>
            <a:t> due to the constraints it might face in future. The Company's last 2 year net income is overstated due to decreased valuation allowances for Deferred Tax Assets. </a:t>
          </a:r>
          <a:endParaRPr lang="tr-TR" sz="2400" b="0"/>
        </a:p>
        <a:p>
          <a:endParaRPr lang="en-US" sz="2400" b="0"/>
        </a:p>
        <a:p>
          <a:endParaRPr lang="tr-TR" sz="2400" b="0">
            <a:solidFill>
              <a:schemeClr val="accent1">
                <a:lumMod val="75000"/>
              </a:schemeClr>
            </a:solidFill>
          </a:endParaRPr>
        </a:p>
        <a:p>
          <a:endParaRPr lang="tr-TR" sz="2400" b="0">
            <a:solidFill>
              <a:schemeClr val="accent1">
                <a:lumMod val="75000"/>
              </a:schemeClr>
            </a:solidFill>
          </a:endParaRPr>
        </a:p>
        <a:p>
          <a:endParaRPr lang="tr-TR" sz="2400" b="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6"/>
  <sheetViews>
    <sheetView tabSelected="1" topLeftCell="A2" zoomScale="55" zoomScaleNormal="55" workbookViewId="0">
      <selection activeCell="G41" sqref="G41"/>
    </sheetView>
  </sheetViews>
  <sheetFormatPr defaultColWidth="18.6640625" defaultRowHeight="14.4" x14ac:dyDescent="0.3"/>
  <cols>
    <col min="1" max="1" width="17.5546875" customWidth="1"/>
    <col min="2" max="2" width="18.6640625" customWidth="1"/>
    <col min="3" max="3" width="42.5546875" customWidth="1"/>
    <col min="4" max="4" width="21.109375" bestFit="1" customWidth="1"/>
    <col min="5" max="8" width="20.88671875" bestFit="1" customWidth="1"/>
    <col min="10" max="10" width="21" bestFit="1" customWidth="1"/>
    <col min="11" max="11" width="23.44140625" bestFit="1" customWidth="1"/>
    <col min="12" max="12" width="22" bestFit="1" customWidth="1"/>
    <col min="13" max="13" width="22.6640625" bestFit="1" customWidth="1"/>
    <col min="14" max="14" width="22" bestFit="1" customWidth="1"/>
    <col min="15" max="15" width="22.44140625" bestFit="1" customWidth="1"/>
  </cols>
  <sheetData>
    <row r="1" spans="1:16" ht="15" thickBot="1" x14ac:dyDescent="0.35"/>
    <row r="2" spans="1:16" ht="41.4" thickBot="1" x14ac:dyDescent="0.8">
      <c r="C2" s="56" t="s">
        <v>120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8"/>
    </row>
    <row r="3" spans="1:16" ht="15" thickBot="1" x14ac:dyDescent="0.35"/>
    <row r="4" spans="1:16" ht="18" x14ac:dyDescent="0.35">
      <c r="B4" s="66"/>
      <c r="C4" s="67"/>
      <c r="D4" s="68"/>
      <c r="E4" s="68"/>
      <c r="F4" s="68"/>
      <c r="G4" s="68"/>
      <c r="H4" s="68"/>
      <c r="I4" s="69"/>
      <c r="J4" s="70" t="s">
        <v>51</v>
      </c>
      <c r="K4" s="68"/>
      <c r="L4" s="68"/>
      <c r="M4" s="68"/>
      <c r="N4" s="68"/>
      <c r="O4" s="71"/>
      <c r="P4" s="66"/>
    </row>
    <row r="5" spans="1:16" ht="18" x14ac:dyDescent="0.35">
      <c r="B5" s="66"/>
      <c r="C5" s="72"/>
      <c r="D5" s="73" t="s">
        <v>53</v>
      </c>
      <c r="E5" s="73" t="s">
        <v>63</v>
      </c>
      <c r="F5" s="73" t="s">
        <v>54</v>
      </c>
      <c r="G5" s="73" t="s">
        <v>55</v>
      </c>
      <c r="H5" s="73" t="s">
        <v>56</v>
      </c>
      <c r="I5" s="73" t="s">
        <v>1</v>
      </c>
      <c r="J5" s="73" t="s">
        <v>119</v>
      </c>
      <c r="K5" s="73" t="s">
        <v>116</v>
      </c>
      <c r="L5" s="73" t="s">
        <v>117</v>
      </c>
      <c r="M5" s="73" t="s">
        <v>66</v>
      </c>
      <c r="N5" s="73" t="s">
        <v>118</v>
      </c>
      <c r="O5" s="74" t="s">
        <v>50</v>
      </c>
      <c r="P5" s="66"/>
    </row>
    <row r="6" spans="1:16" ht="18" x14ac:dyDescent="0.35">
      <c r="B6" s="66"/>
      <c r="C6" s="75" t="s">
        <v>0</v>
      </c>
      <c r="D6" s="220">
        <v>11140000</v>
      </c>
      <c r="E6" s="220">
        <v>17455000</v>
      </c>
      <c r="F6" s="220">
        <v>31877000</v>
      </c>
      <c r="G6" s="220">
        <v>37281000</v>
      </c>
      <c r="H6" s="220">
        <v>43978000</v>
      </c>
      <c r="I6" s="104"/>
      <c r="J6" s="105">
        <f>H6*(1+ASSUMPTIONS!D10)</f>
        <v>50794590</v>
      </c>
      <c r="K6" s="105">
        <f>J6+J6*ASSUMPTIONS!$D$10</f>
        <v>58667751.450000003</v>
      </c>
      <c r="L6" s="105">
        <f>K6+K6*ASSUMPTIONS!$D$10</f>
        <v>67761252.92475</v>
      </c>
      <c r="M6" s="105">
        <f>L6+L6*ASSUMPTIONS!$D$10</f>
        <v>78264247.128086254</v>
      </c>
      <c r="N6" s="105">
        <f>M6+M6*ASSUMPTIONS!$D$10</f>
        <v>90395205.432939619</v>
      </c>
      <c r="O6" s="106">
        <f>N6+N6*ASSUMPTIONS!$D$10</f>
        <v>104406462.27504526</v>
      </c>
      <c r="P6" s="66"/>
    </row>
    <row r="7" spans="1:16" ht="18" x14ac:dyDescent="0.35">
      <c r="B7" s="66"/>
      <c r="C7" s="78" t="s">
        <v>27</v>
      </c>
      <c r="D7" s="79"/>
      <c r="E7" s="99">
        <f>E6/D6-1</f>
        <v>0.56687612208258531</v>
      </c>
      <c r="F7" s="79">
        <f t="shared" ref="F7:H7" si="0">F6/E6-1</f>
        <v>0.8262389000286452</v>
      </c>
      <c r="G7" s="79">
        <f t="shared" si="0"/>
        <v>0.16952661793769797</v>
      </c>
      <c r="H7" s="79">
        <f t="shared" si="0"/>
        <v>0.17963573938467325</v>
      </c>
      <c r="I7" s="80">
        <f>GEOMEAN((E7+1),(F7+1),(G7+1),(H7+1))-1</f>
        <v>0.40957299569807271</v>
      </c>
      <c r="J7" s="79"/>
      <c r="K7" s="79"/>
      <c r="L7" s="79"/>
      <c r="M7" s="79"/>
      <c r="N7" s="79"/>
      <c r="O7" s="81"/>
      <c r="P7" s="66"/>
    </row>
    <row r="8" spans="1:16" ht="18" x14ac:dyDescent="0.35">
      <c r="A8" s="115"/>
      <c r="B8" s="66"/>
      <c r="C8" s="82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81"/>
      <c r="P8" s="66"/>
    </row>
    <row r="9" spans="1:16" ht="18" x14ac:dyDescent="0.35">
      <c r="B9" s="66"/>
      <c r="C9" s="75" t="s">
        <v>2</v>
      </c>
      <c r="D9" s="104">
        <v>7200000</v>
      </c>
      <c r="E9" s="104">
        <v>11880000</v>
      </c>
      <c r="F9" s="104">
        <v>19659000</v>
      </c>
      <c r="G9" s="104">
        <v>22457000</v>
      </c>
      <c r="H9" s="104">
        <v>26651000</v>
      </c>
      <c r="I9" s="105"/>
      <c r="J9" s="212">
        <f t="shared" ref="J9:O9" si="1">J6*$I$10</f>
        <v>32021110.891980875</v>
      </c>
      <c r="K9" s="76">
        <f t="shared" si="1"/>
        <v>36984383.08023791</v>
      </c>
      <c r="L9" s="76">
        <f t="shared" si="1"/>
        <v>42716962.457674786</v>
      </c>
      <c r="M9" s="76">
        <f t="shared" si="1"/>
        <v>49338091.638614379</v>
      </c>
      <c r="N9" s="76">
        <f t="shared" si="1"/>
        <v>56985495.842599608</v>
      </c>
      <c r="O9" s="77">
        <f t="shared" si="1"/>
        <v>65818247.69820255</v>
      </c>
      <c r="P9" s="66"/>
    </row>
    <row r="10" spans="1:16" ht="18" x14ac:dyDescent="0.35">
      <c r="B10" s="66"/>
      <c r="C10" s="125" t="s">
        <v>72</v>
      </c>
      <c r="D10" s="1">
        <f>D9/D6</f>
        <v>0.64631956912028721</v>
      </c>
      <c r="E10" s="1">
        <f t="shared" ref="E10:H10" si="2">E9/E6</f>
        <v>0.68060727585219138</v>
      </c>
      <c r="F10" s="1">
        <f t="shared" si="2"/>
        <v>0.61671424538068198</v>
      </c>
      <c r="G10" s="1">
        <f t="shared" si="2"/>
        <v>0.60237118103055176</v>
      </c>
      <c r="H10" s="1">
        <f t="shared" si="2"/>
        <v>0.60600754922916</v>
      </c>
      <c r="I10" s="209">
        <f>AVERAGE(D10:H10)</f>
        <v>0.63040396412257438</v>
      </c>
      <c r="P10" s="66"/>
    </row>
    <row r="11" spans="1:16" ht="18" x14ac:dyDescent="0.35">
      <c r="B11" s="66"/>
      <c r="C11" s="75" t="s">
        <v>48</v>
      </c>
      <c r="D11" s="104">
        <v>8270000</v>
      </c>
      <c r="E11" s="104">
        <v>11938000</v>
      </c>
      <c r="F11" s="104">
        <v>14050000</v>
      </c>
      <c r="G11" s="104">
        <v>13714000</v>
      </c>
      <c r="H11" s="104">
        <v>14528000</v>
      </c>
      <c r="I11" s="105"/>
      <c r="J11" s="105">
        <f>H11*(1+ASSUMPTIONS!$D$12)</f>
        <v>15980800.000000002</v>
      </c>
      <c r="K11" s="105">
        <f>J11*(1+ASSUMPTIONS!$D$12)</f>
        <v>17578880.000000004</v>
      </c>
      <c r="L11" s="105">
        <f>K11*(1+ASSUMPTIONS!$D$12)</f>
        <v>19336768.000000007</v>
      </c>
      <c r="M11" s="105">
        <f>L11*(1+ASSUMPTIONS!$D$12)</f>
        <v>21270444.800000008</v>
      </c>
      <c r="N11" s="105">
        <f>M11*(1+ASSUMPTIONS!$D$12)</f>
        <v>23397489.280000012</v>
      </c>
      <c r="O11" s="106">
        <f>N11*(1+ASSUMPTIONS!$D$12)</f>
        <v>25737238.208000015</v>
      </c>
      <c r="P11" s="66"/>
    </row>
    <row r="12" spans="1:16" ht="18" x14ac:dyDescent="0.35">
      <c r="B12" s="66"/>
      <c r="C12" s="75" t="s">
        <v>64</v>
      </c>
      <c r="D12" s="105">
        <f>SUM(D9:D11)</f>
        <v>15470000.646319568</v>
      </c>
      <c r="E12" s="105">
        <f>SUM(E9:E11)</f>
        <v>23818000.680607274</v>
      </c>
      <c r="F12" s="105">
        <f>SUM(F9:F11)</f>
        <v>33709000.616714247</v>
      </c>
      <c r="G12" s="105">
        <f>SUM(G9:G11)</f>
        <v>36171000.602371186</v>
      </c>
      <c r="H12" s="105">
        <f>SUM(H9:H11)</f>
        <v>41179000.606007546</v>
      </c>
      <c r="I12" s="105"/>
      <c r="J12" s="105">
        <f t="shared" ref="J12:O12" si="3">J9+J11</f>
        <v>48001910.891980879</v>
      </c>
      <c r="K12" s="105">
        <f t="shared" si="3"/>
        <v>54563263.08023791</v>
      </c>
      <c r="L12" s="105">
        <f t="shared" si="3"/>
        <v>62053730.457674794</v>
      </c>
      <c r="M12" s="105">
        <f t="shared" si="3"/>
        <v>70608536.438614383</v>
      </c>
      <c r="N12" s="105">
        <f t="shared" si="3"/>
        <v>80382985.122599617</v>
      </c>
      <c r="O12" s="106">
        <f t="shared" si="3"/>
        <v>91555485.90620257</v>
      </c>
      <c r="P12" s="66"/>
    </row>
    <row r="13" spans="1:16" ht="18" x14ac:dyDescent="0.35">
      <c r="B13" s="66"/>
      <c r="C13" s="78" t="s">
        <v>71</v>
      </c>
      <c r="D13" s="79"/>
      <c r="E13" s="79">
        <f>E11/D11-1</f>
        <v>0.44353083434099161</v>
      </c>
      <c r="F13" s="79">
        <f>F11/E11-1</f>
        <v>0.17691405595577159</v>
      </c>
      <c r="G13" s="79">
        <f>G11/F11-1</f>
        <v>-2.3914590747330933E-2</v>
      </c>
      <c r="H13" s="79">
        <f>H11/G11-1</f>
        <v>5.9355403237567383E-2</v>
      </c>
      <c r="I13" s="80">
        <f>GEOMEAN((E13+1),(F13+1),(G13+1),(H13+1))-1</f>
        <v>0.15126441330097062</v>
      </c>
      <c r="J13" s="79"/>
      <c r="K13" s="79"/>
      <c r="L13" s="79"/>
      <c r="M13" s="79"/>
      <c r="N13" s="79"/>
      <c r="O13" s="81"/>
      <c r="P13" s="66"/>
    </row>
    <row r="14" spans="1:16" ht="18" x14ac:dyDescent="0.35">
      <c r="B14" s="66"/>
      <c r="C14" s="82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81"/>
      <c r="P14" s="66"/>
    </row>
    <row r="15" spans="1:16" ht="18" x14ac:dyDescent="0.35">
      <c r="B15" s="66"/>
      <c r="C15" s="75" t="s">
        <v>47</v>
      </c>
      <c r="D15" s="105">
        <f>D6-D12</f>
        <v>-4330000.6463195682</v>
      </c>
      <c r="E15" s="105">
        <f t="shared" ref="E15:H15" si="4">E6-E12</f>
        <v>-6363000.6806072742</v>
      </c>
      <c r="F15" s="105">
        <f t="shared" si="4"/>
        <v>-1832000.6167142466</v>
      </c>
      <c r="G15" s="105">
        <f t="shared" si="4"/>
        <v>1109999.397628814</v>
      </c>
      <c r="H15" s="105">
        <f t="shared" si="4"/>
        <v>2798999.3939924538</v>
      </c>
      <c r="I15" s="105"/>
      <c r="J15" s="105">
        <f t="shared" ref="J15:O15" si="5">J6-J12</f>
        <v>2792679.108019121</v>
      </c>
      <c r="K15" s="105">
        <f t="shared" si="5"/>
        <v>4104488.3697620928</v>
      </c>
      <c r="L15" s="76">
        <f t="shared" si="5"/>
        <v>5707522.4670752063</v>
      </c>
      <c r="M15" s="76">
        <f t="shared" si="5"/>
        <v>7655710.6894718707</v>
      </c>
      <c r="N15" s="76">
        <f t="shared" si="5"/>
        <v>10012220.310340002</v>
      </c>
      <c r="O15" s="77">
        <f t="shared" si="5"/>
        <v>12850976.368842691</v>
      </c>
      <c r="P15" s="66"/>
    </row>
    <row r="16" spans="1:16" ht="18" x14ac:dyDescent="0.35">
      <c r="B16" s="66"/>
      <c r="C16" s="75" t="s">
        <v>3</v>
      </c>
      <c r="D16" s="104">
        <v>192000</v>
      </c>
      <c r="E16" s="104">
        <v>492000</v>
      </c>
      <c r="F16" s="104">
        <v>181000</v>
      </c>
      <c r="G16" s="104">
        <v>213000</v>
      </c>
      <c r="H16" s="104">
        <v>-6104000</v>
      </c>
      <c r="I16" s="105"/>
      <c r="J16" s="105">
        <f>J15*ASSUMPTIONS!$D$13</f>
        <v>563819.55938148417</v>
      </c>
      <c r="K16" s="105">
        <f>K15*ASSUMPTIONS!$D$13</f>
        <v>828663.34964176081</v>
      </c>
      <c r="L16" s="105">
        <f>L15*ASSUMPTIONS!$D$13</f>
        <v>1152303.1032479908</v>
      </c>
      <c r="M16" s="105">
        <f>M15*ASSUMPTIONS!$D$13</f>
        <v>1545626.7121043664</v>
      </c>
      <c r="N16" s="105">
        <f>N15*ASSUMPTIONS!$D$13</f>
        <v>2021387.1431187703</v>
      </c>
      <c r="O16" s="106">
        <f>O15*ASSUMPTIONS!$D$13</f>
        <v>2594509.2700042292</v>
      </c>
      <c r="P16" s="66"/>
    </row>
    <row r="17" spans="2:16" ht="18" x14ac:dyDescent="0.35">
      <c r="B17" s="66"/>
      <c r="C17" s="83" t="s">
        <v>46</v>
      </c>
      <c r="D17" s="79">
        <f t="shared" ref="D17:H17" si="6">D16/D15</f>
        <v>-4.4341794766981607E-2</v>
      </c>
      <c r="E17" s="79">
        <f t="shared" si="6"/>
        <v>-7.7322009645462486E-2</v>
      </c>
      <c r="F17" s="79">
        <f t="shared" si="6"/>
        <v>-9.8799093378379679E-2</v>
      </c>
      <c r="G17" s="79">
        <f t="shared" si="6"/>
        <v>0.19189199602721552</v>
      </c>
      <c r="H17" s="79">
        <f t="shared" si="6"/>
        <v>-2.1807793217465972</v>
      </c>
      <c r="I17" s="80">
        <f>AVERAGE(G17)+0.01</f>
        <v>0.20189199602721553</v>
      </c>
      <c r="J17" s="76"/>
      <c r="K17" s="76"/>
      <c r="L17" s="76"/>
      <c r="M17" s="76"/>
      <c r="N17" s="76"/>
      <c r="O17" s="77"/>
      <c r="P17" s="66"/>
    </row>
    <row r="18" spans="2:16" ht="18" x14ac:dyDescent="0.35">
      <c r="B18" s="123"/>
      <c r="C18" s="82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81"/>
      <c r="P18" s="66"/>
    </row>
    <row r="19" spans="2:16" ht="18" x14ac:dyDescent="0.35">
      <c r="B19" s="66"/>
      <c r="C19" s="75" t="s">
        <v>5</v>
      </c>
      <c r="D19" s="104">
        <v>575000</v>
      </c>
      <c r="E19" s="104">
        <v>902000</v>
      </c>
      <c r="F19" s="104">
        <v>947000</v>
      </c>
      <c r="G19" s="104">
        <v>823000</v>
      </c>
      <c r="H19" s="104">
        <v>737000</v>
      </c>
      <c r="I19" s="107"/>
      <c r="J19" s="105">
        <f>H19*(1+$I$13)</f>
        <v>848481.87260281539</v>
      </c>
      <c r="K19" s="105">
        <f t="shared" ref="K19:O20" si="7">J19*(1+$I$13)</f>
        <v>976826.98525858915</v>
      </c>
      <c r="L19" s="105">
        <f t="shared" si="7"/>
        <v>1124586.1460802855</v>
      </c>
      <c r="M19" s="105">
        <f t="shared" si="7"/>
        <v>1294696.0096735195</v>
      </c>
      <c r="N19" s="105">
        <f t="shared" si="7"/>
        <v>1490537.4419798923</v>
      </c>
      <c r="O19" s="106">
        <f t="shared" si="7"/>
        <v>1716002.7136441104</v>
      </c>
      <c r="P19" s="66"/>
    </row>
    <row r="20" spans="2:16" ht="18" x14ac:dyDescent="0.35">
      <c r="B20" s="66"/>
      <c r="C20" s="75" t="s">
        <v>6</v>
      </c>
      <c r="D20" s="104">
        <v>1629000</v>
      </c>
      <c r="E20" s="104">
        <v>821000</v>
      </c>
      <c r="F20" s="104">
        <v>558000</v>
      </c>
      <c r="G20" s="104">
        <v>616000</v>
      </c>
      <c r="H20" s="104">
        <v>355000</v>
      </c>
      <c r="I20" s="107"/>
      <c r="J20" s="105">
        <f>H20*(1+$I$13)</f>
        <v>408698.86672184459</v>
      </c>
      <c r="K20" s="105">
        <f t="shared" si="7"/>
        <v>470520.46101329598</v>
      </c>
      <c r="L20" s="105">
        <f t="shared" si="7"/>
        <v>541693.46249457437</v>
      </c>
      <c r="M20" s="105">
        <f t="shared" si="7"/>
        <v>623632.40628778748</v>
      </c>
      <c r="N20" s="105">
        <f t="shared" si="7"/>
        <v>717965.79634038219</v>
      </c>
      <c r="O20" s="106">
        <f t="shared" si="7"/>
        <v>826568.47129397432</v>
      </c>
      <c r="P20" s="66"/>
    </row>
    <row r="21" spans="2:16" ht="18.600000000000001" thickBot="1" x14ac:dyDescent="0.4">
      <c r="B21" s="66"/>
      <c r="C21" s="84" t="s">
        <v>26</v>
      </c>
      <c r="D21" s="108"/>
      <c r="E21" s="108"/>
      <c r="F21" s="109"/>
      <c r="G21" s="110">
        <f>SCHEDULES!I28</f>
        <v>-568000</v>
      </c>
      <c r="H21" s="110">
        <f>SCHEDULES!J28</f>
        <v>378000</v>
      </c>
      <c r="I21" s="110"/>
      <c r="J21" s="110">
        <f>SCHEDULES!K28</f>
        <v>-1125334.9276299232</v>
      </c>
      <c r="K21" s="111">
        <f>SCHEDULES!L28</f>
        <v>-631986.9137826385</v>
      </c>
      <c r="L21" s="109">
        <f>SCHEDULES!M28</f>
        <v>-729944.88541894639</v>
      </c>
      <c r="M21" s="109">
        <f>SCHEDULES!N28</f>
        <v>-843086.34265888389</v>
      </c>
      <c r="N21" s="109">
        <f>SCHEDULES!O28</f>
        <v>-973764.72577101085</v>
      </c>
      <c r="O21" s="112">
        <f>SCHEDULES!P28</f>
        <v>-973764.72577101085</v>
      </c>
      <c r="P21" s="66"/>
    </row>
    <row r="22" spans="2:16" ht="18.600000000000001" thickBot="1" x14ac:dyDescent="0.4"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</row>
    <row r="23" spans="2:16" ht="21.6" thickBot="1" x14ac:dyDescent="0.45">
      <c r="B23" s="66"/>
      <c r="C23" s="211" t="s">
        <v>114</v>
      </c>
      <c r="D23" s="210" t="s">
        <v>81</v>
      </c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</row>
    <row r="24" spans="2:16" ht="18.600000000000001" thickBot="1" x14ac:dyDescent="0.4"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</row>
    <row r="25" spans="2:16" ht="18" x14ac:dyDescent="0.35">
      <c r="B25" s="66"/>
      <c r="C25" s="86" t="s">
        <v>70</v>
      </c>
      <c r="D25" s="101">
        <f>NPV(I32,J25:M25,N26)</f>
        <v>150395855.27098033</v>
      </c>
      <c r="E25" s="66"/>
      <c r="F25" s="66"/>
      <c r="G25" s="67"/>
      <c r="H25" s="69"/>
      <c r="I25" s="87" t="s">
        <v>7</v>
      </c>
      <c r="J25" s="113">
        <f>J15*(1-I17)+J19-J20-J21</f>
        <v>3793977.4821485309</v>
      </c>
      <c r="K25" s="113">
        <f t="shared" ref="K25:N25" si="8">K15*(1-J17)+K19-K20-K21</f>
        <v>5242781.8077900251</v>
      </c>
      <c r="L25" s="113">
        <f t="shared" si="8"/>
        <v>7020360.0360798631</v>
      </c>
      <c r="M25" s="113">
        <f t="shared" si="8"/>
        <v>9169860.6355164871</v>
      </c>
      <c r="N25" s="113">
        <f t="shared" si="8"/>
        <v>11758556.681750525</v>
      </c>
      <c r="O25" s="101">
        <f>O15*(1-N17)+O19-O20-O21</f>
        <v>14714175.336963836</v>
      </c>
      <c r="P25" s="66"/>
    </row>
    <row r="26" spans="2:16" ht="18" x14ac:dyDescent="0.35">
      <c r="B26" s="66"/>
      <c r="C26" s="75" t="s">
        <v>9</v>
      </c>
      <c r="D26" s="117">
        <v>7520000</v>
      </c>
      <c r="E26" s="66"/>
      <c r="F26" s="66"/>
      <c r="G26" s="102" t="s">
        <v>68</v>
      </c>
      <c r="H26" s="103"/>
      <c r="I26" s="103"/>
      <c r="J26" s="103"/>
      <c r="K26" s="103"/>
      <c r="L26" s="103"/>
      <c r="M26" s="103"/>
      <c r="N26" s="114">
        <f>N25+M33</f>
        <v>211062933.08175755</v>
      </c>
      <c r="O26" s="88"/>
      <c r="P26" s="66"/>
    </row>
    <row r="27" spans="2:16" ht="18" x14ac:dyDescent="0.35">
      <c r="B27" s="66"/>
      <c r="C27" s="75" t="s">
        <v>10</v>
      </c>
      <c r="D27" s="117">
        <v>12000000</v>
      </c>
      <c r="E27" s="66"/>
      <c r="F27" s="66"/>
      <c r="G27" s="82"/>
      <c r="H27" s="66"/>
      <c r="I27" s="66"/>
      <c r="J27" s="66"/>
      <c r="K27" s="66"/>
      <c r="L27" s="66"/>
      <c r="M27" s="66"/>
      <c r="N27" s="66"/>
      <c r="O27" s="81"/>
      <c r="P27" s="66"/>
    </row>
    <row r="28" spans="2:16" ht="18" x14ac:dyDescent="0.35">
      <c r="B28" s="66"/>
      <c r="C28" s="75" t="s">
        <v>11</v>
      </c>
      <c r="D28" s="118">
        <f>D25+D26-D27</f>
        <v>145915855.27098033</v>
      </c>
      <c r="E28" s="66"/>
      <c r="F28" s="66"/>
      <c r="G28" s="82"/>
      <c r="H28" s="66"/>
      <c r="I28" s="66"/>
      <c r="J28" s="66"/>
      <c r="K28" s="66"/>
      <c r="L28" s="66"/>
      <c r="M28" s="66"/>
      <c r="N28" s="66"/>
      <c r="O28" s="81"/>
      <c r="P28" s="66"/>
    </row>
    <row r="29" spans="2:16" ht="18" x14ac:dyDescent="0.35">
      <c r="B29" s="66"/>
      <c r="C29" s="82" t="s">
        <v>12</v>
      </c>
      <c r="D29" s="119">
        <v>2090000</v>
      </c>
      <c r="E29" s="66"/>
      <c r="F29" s="66"/>
      <c r="G29" s="82"/>
      <c r="H29" s="66"/>
      <c r="I29" s="66"/>
      <c r="J29" s="66"/>
      <c r="K29" s="66"/>
      <c r="L29" s="66"/>
      <c r="M29" s="66"/>
      <c r="N29" s="66"/>
      <c r="O29" s="81"/>
      <c r="P29" s="66"/>
    </row>
    <row r="30" spans="2:16" ht="18" x14ac:dyDescent="0.35">
      <c r="B30" s="66"/>
      <c r="C30" s="75" t="s">
        <v>122</v>
      </c>
      <c r="D30" s="90">
        <f>D28/D29</f>
        <v>69.816198694248968</v>
      </c>
      <c r="E30" s="66"/>
      <c r="F30" s="66"/>
      <c r="G30" s="82" t="s">
        <v>8</v>
      </c>
      <c r="I30" s="126">
        <f>ASSUMPTIONS!D14</f>
        <v>11.8</v>
      </c>
      <c r="K30" s="66" t="s">
        <v>42</v>
      </c>
      <c r="M30" s="100">
        <f>I30*O25</f>
        <v>173627268.97617328</v>
      </c>
      <c r="N30" s="66"/>
      <c r="O30" s="81"/>
      <c r="P30" s="66"/>
    </row>
    <row r="31" spans="2:16" ht="18" x14ac:dyDescent="0.35">
      <c r="B31" s="66"/>
      <c r="C31" s="82" t="s">
        <v>123</v>
      </c>
      <c r="D31" s="89">
        <v>92.81</v>
      </c>
      <c r="E31" s="91"/>
      <c r="F31" s="66"/>
      <c r="G31" s="82" t="s">
        <v>44</v>
      </c>
      <c r="I31" s="213">
        <f>ASSUMPTIONS!D15</f>
        <v>0.03</v>
      </c>
      <c r="K31" s="66" t="s">
        <v>43</v>
      </c>
      <c r="M31" s="100">
        <f>O25/(I32-I31)</f>
        <v>210308851.01022148</v>
      </c>
      <c r="N31" s="66"/>
      <c r="O31" s="81"/>
      <c r="P31" s="66"/>
    </row>
    <row r="32" spans="2:16" ht="18.600000000000001" thickBot="1" x14ac:dyDescent="0.4">
      <c r="B32" s="66"/>
      <c r="C32" s="92" t="s">
        <v>22</v>
      </c>
      <c r="D32" s="93">
        <f>D30/D31-1</f>
        <v>-0.24775133396994975</v>
      </c>
      <c r="E32" s="66"/>
      <c r="F32" s="66"/>
      <c r="G32" s="82" t="s">
        <v>18</v>
      </c>
      <c r="I32" s="98">
        <f>WACC!G17</f>
        <v>9.9964603326412993E-2</v>
      </c>
      <c r="K32" s="66"/>
      <c r="M32" s="66"/>
      <c r="N32" s="66"/>
      <c r="O32" s="81"/>
      <c r="P32" s="66"/>
    </row>
    <row r="33" spans="2:16" ht="18.600000000000001" thickBot="1" x14ac:dyDescent="0.4">
      <c r="B33" s="66"/>
      <c r="C33" s="66"/>
      <c r="D33" s="66"/>
      <c r="E33" s="66"/>
      <c r="F33" s="66"/>
      <c r="G33" s="94"/>
      <c r="H33" s="85"/>
      <c r="I33" s="85"/>
      <c r="J33" s="19"/>
      <c r="K33" s="85" t="s">
        <v>45</v>
      </c>
      <c r="L33" s="19"/>
      <c r="M33" s="221">
        <f>(M30*30+M31*70)/100</f>
        <v>199304376.40000701</v>
      </c>
      <c r="N33" s="85"/>
      <c r="O33" s="95"/>
      <c r="P33" s="66"/>
    </row>
    <row r="34" spans="2:16" ht="18" x14ac:dyDescent="0.35">
      <c r="B34" s="66"/>
      <c r="C34" s="66"/>
      <c r="D34" s="96"/>
      <c r="E34" s="96"/>
      <c r="F34" s="96"/>
      <c r="G34" s="96"/>
      <c r="H34" s="66"/>
      <c r="I34" s="66"/>
      <c r="J34" s="96"/>
      <c r="K34" s="96"/>
      <c r="L34" s="96"/>
      <c r="M34" s="96"/>
      <c r="N34" s="66"/>
      <c r="O34" s="66"/>
      <c r="P34" s="66"/>
    </row>
    <row r="35" spans="2:16" ht="18" x14ac:dyDescent="0.35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</row>
    <row r="36" spans="2:16" ht="18" x14ac:dyDescent="0.35"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</row>
    <row r="37" spans="2:16" ht="18" x14ac:dyDescent="0.35"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</row>
    <row r="38" spans="2:16" ht="18" x14ac:dyDescent="0.35"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</row>
    <row r="39" spans="2:16" ht="18" x14ac:dyDescent="0.35"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</row>
    <row r="40" spans="2:16" ht="18" x14ac:dyDescent="0.35"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</row>
    <row r="41" spans="2:16" ht="18" x14ac:dyDescent="0.35"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</row>
    <row r="42" spans="2:16" ht="18" x14ac:dyDescent="0.35"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</row>
    <row r="43" spans="2:16" ht="18" x14ac:dyDescent="0.35"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</row>
    <row r="44" spans="2:16" ht="18" x14ac:dyDescent="0.35"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</row>
    <row r="45" spans="2:16" ht="18" x14ac:dyDescent="0.35"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</row>
    <row r="46" spans="2:16" ht="18" x14ac:dyDescent="0.35"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</row>
    <row r="47" spans="2:16" ht="18" x14ac:dyDescent="0.35"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</row>
    <row r="48" spans="2:16" ht="18" x14ac:dyDescent="0.35"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</row>
    <row r="49" spans="3:10" ht="18.600000000000001" thickBot="1" x14ac:dyDescent="0.4">
      <c r="C49" s="66"/>
      <c r="D49" s="66"/>
      <c r="E49" s="66"/>
      <c r="F49" s="66"/>
    </row>
    <row r="50" spans="3:10" ht="15" x14ac:dyDescent="0.35">
      <c r="C50" s="208" t="s">
        <v>115</v>
      </c>
      <c r="D50" s="205" t="s">
        <v>83</v>
      </c>
      <c r="E50" s="205" t="s">
        <v>79</v>
      </c>
      <c r="F50" s="206" t="s">
        <v>84</v>
      </c>
    </row>
    <row r="51" spans="3:10" ht="15" x14ac:dyDescent="0.35">
      <c r="C51" s="207" t="s">
        <v>77</v>
      </c>
      <c r="D51" s="242">
        <v>75.900000000000006</v>
      </c>
      <c r="E51" s="242">
        <v>85.55</v>
      </c>
      <c r="F51" s="243">
        <v>169.76</v>
      </c>
    </row>
    <row r="52" spans="3:10" ht="15.6" thickBot="1" x14ac:dyDescent="0.4">
      <c r="C52" s="204" t="s">
        <v>78</v>
      </c>
      <c r="D52" s="223">
        <v>44.3</v>
      </c>
      <c r="E52" s="224">
        <v>69.8</v>
      </c>
      <c r="F52" s="225">
        <v>97.1</v>
      </c>
    </row>
    <row r="61" spans="3:10" ht="17.399999999999999" x14ac:dyDescent="0.35">
      <c r="J61" s="8"/>
    </row>
    <row r="66" spans="4:7" x14ac:dyDescent="0.3">
      <c r="D66" s="7"/>
      <c r="E66" s="7"/>
      <c r="F66" s="4"/>
      <c r="G66" s="7"/>
    </row>
  </sheetData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7E2471D-C2A2-445E-A71F-2ADD1E1CECE0}">
          <x14:formula1>
            <xm:f>ASSUMPTIONS!$F$9:$H$9</xm:f>
          </x14:formula1>
          <xm:sqref>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BAC58-C5F9-4FD8-9B55-59F240130EB1}">
  <dimension ref="C6:H15"/>
  <sheetViews>
    <sheetView zoomScale="115" zoomScaleNormal="115" workbookViewId="0">
      <selection activeCell="G11" sqref="G11"/>
    </sheetView>
  </sheetViews>
  <sheetFormatPr defaultColWidth="16.6640625" defaultRowHeight="14.4" x14ac:dyDescent="0.3"/>
  <cols>
    <col min="3" max="3" width="54" customWidth="1"/>
  </cols>
  <sheetData>
    <row r="6" spans="3:8" ht="15" thickBot="1" x14ac:dyDescent="0.35"/>
    <row r="7" spans="3:8" ht="18" thickBot="1" x14ac:dyDescent="0.4">
      <c r="C7" s="51" t="s">
        <v>57</v>
      </c>
      <c r="D7" s="203" t="str">
        <f>DCF!D23</f>
        <v>BASE CASE</v>
      </c>
    </row>
    <row r="8" spans="3:8" ht="18" thickBot="1" x14ac:dyDescent="0.4">
      <c r="C8" s="18" t="s">
        <v>58</v>
      </c>
      <c r="D8" s="129">
        <f>DCF!I7</f>
        <v>0.40957299569807271</v>
      </c>
    </row>
    <row r="9" spans="3:8" ht="16.2" thickBot="1" x14ac:dyDescent="0.35">
      <c r="C9" s="124" t="s">
        <v>72</v>
      </c>
      <c r="D9" s="222">
        <f>DCF!I10-0.04</f>
        <v>0.59040396412257434</v>
      </c>
      <c r="F9" s="144" t="s">
        <v>82</v>
      </c>
      <c r="G9" s="144" t="s">
        <v>81</v>
      </c>
      <c r="H9" s="143" t="s">
        <v>80</v>
      </c>
    </row>
    <row r="10" spans="3:8" ht="17.399999999999999" x14ac:dyDescent="0.35">
      <c r="C10" s="49" t="s">
        <v>59</v>
      </c>
      <c r="D10" s="140">
        <f>INDEX(F10:H10, MATCH(DCF!$D$23, F$9:H$9, 0))</f>
        <v>0.155</v>
      </c>
      <c r="F10" s="131">
        <v>0.14000000000000001</v>
      </c>
      <c r="G10" s="132">
        <v>0.155</v>
      </c>
      <c r="H10" s="133">
        <v>0.17</v>
      </c>
    </row>
    <row r="11" spans="3:8" ht="17.399999999999999" x14ac:dyDescent="0.35">
      <c r="C11" s="18" t="s">
        <v>73</v>
      </c>
      <c r="D11" s="130">
        <f>DCF!I13</f>
        <v>0.15126441330097062</v>
      </c>
      <c r="F11" s="145"/>
      <c r="G11" s="127"/>
      <c r="H11" s="128"/>
    </row>
    <row r="12" spans="3:8" ht="17.399999999999999" x14ac:dyDescent="0.35">
      <c r="C12" s="49" t="s">
        <v>74</v>
      </c>
      <c r="D12" s="140">
        <f>INDEX(F12:H12, MATCH(DCF!$D$23, F$9:H$9, 0))</f>
        <v>0.1</v>
      </c>
      <c r="F12" s="134">
        <v>0.11</v>
      </c>
      <c r="G12" s="134">
        <v>0.1</v>
      </c>
      <c r="H12" s="135">
        <v>0.09</v>
      </c>
    </row>
    <row r="13" spans="3:8" ht="17.399999999999999" x14ac:dyDescent="0.35">
      <c r="C13" s="49" t="s">
        <v>60</v>
      </c>
      <c r="D13" s="130">
        <f>DCF!I17</f>
        <v>0.20189199602721553</v>
      </c>
      <c r="F13" s="127"/>
      <c r="G13" s="127"/>
      <c r="H13" s="128"/>
    </row>
    <row r="14" spans="3:8" ht="17.399999999999999" x14ac:dyDescent="0.35">
      <c r="C14" s="49" t="s">
        <v>61</v>
      </c>
      <c r="D14" s="141">
        <f>INDEX(F14:H14, MATCH(DCF!$D$23, F$9:H$9, 0))</f>
        <v>11.8</v>
      </c>
      <c r="F14" s="136">
        <v>11</v>
      </c>
      <c r="G14" s="136">
        <v>11.8</v>
      </c>
      <c r="H14" s="137">
        <v>12.5</v>
      </c>
    </row>
    <row r="15" spans="3:8" ht="18" thickBot="1" x14ac:dyDescent="0.4">
      <c r="C15" s="50" t="s">
        <v>62</v>
      </c>
      <c r="D15" s="142">
        <f>INDEX(F15:H15, MATCH(DCF!$D$23, F$9:H$9, 0))</f>
        <v>0.03</v>
      </c>
      <c r="F15" s="138">
        <v>0.02</v>
      </c>
      <c r="G15" s="138">
        <v>0.03</v>
      </c>
      <c r="H15" s="139">
        <v>3.5000000000000003E-2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7D02C-8257-424B-A204-0C90EF0FBBFD}">
  <dimension ref="B4:L19"/>
  <sheetViews>
    <sheetView workbookViewId="0">
      <selection activeCell="G10" sqref="G10"/>
    </sheetView>
  </sheetViews>
  <sheetFormatPr defaultRowHeight="14.4" x14ac:dyDescent="0.3"/>
  <cols>
    <col min="1" max="1" width="12.109375" bestFit="1" customWidth="1"/>
    <col min="6" max="6" width="27.6640625" customWidth="1"/>
    <col min="7" max="7" width="16" customWidth="1"/>
  </cols>
  <sheetData>
    <row r="4" spans="2:12" x14ac:dyDescent="0.3">
      <c r="B4" s="5"/>
    </row>
    <row r="6" spans="2:12" ht="15" thickBot="1" x14ac:dyDescent="0.35"/>
    <row r="7" spans="2:12" x14ac:dyDescent="0.3">
      <c r="F7" s="52" t="s">
        <v>52</v>
      </c>
      <c r="G7" s="53"/>
    </row>
    <row r="8" spans="2:12" x14ac:dyDescent="0.3">
      <c r="F8" s="9" t="s">
        <v>13</v>
      </c>
      <c r="G8" s="59">
        <f>G11+(G10*G9)</f>
        <v>0.10471899999999999</v>
      </c>
    </row>
    <row r="9" spans="2:12" x14ac:dyDescent="0.3">
      <c r="F9" s="10" t="s">
        <v>14</v>
      </c>
      <c r="G9" s="11">
        <v>4.3299999999999998E-2</v>
      </c>
    </row>
    <row r="10" spans="2:12" x14ac:dyDescent="0.3">
      <c r="F10" s="10" t="s">
        <v>15</v>
      </c>
      <c r="G10" s="12">
        <v>1.43</v>
      </c>
      <c r="K10" s="5"/>
      <c r="L10" s="3"/>
    </row>
    <row r="11" spans="2:12" x14ac:dyDescent="0.3">
      <c r="E11" s="2"/>
      <c r="F11" s="15" t="s">
        <v>16</v>
      </c>
      <c r="G11" s="16">
        <v>4.2799999999999998E-2</v>
      </c>
      <c r="K11" s="1"/>
    </row>
    <row r="12" spans="2:12" x14ac:dyDescent="0.3">
      <c r="E12" s="2"/>
      <c r="F12" s="10"/>
      <c r="G12" s="60"/>
    </row>
    <row r="13" spans="2:12" x14ac:dyDescent="0.3">
      <c r="E13" s="2"/>
      <c r="F13" s="17" t="s">
        <v>17</v>
      </c>
      <c r="G13" s="61">
        <f>G14*(1-G15)</f>
        <v>3.1924320158911376E-2</v>
      </c>
    </row>
    <row r="14" spans="2:12" x14ac:dyDescent="0.3">
      <c r="F14" s="10" t="s">
        <v>21</v>
      </c>
      <c r="G14" s="116">
        <v>0.04</v>
      </c>
    </row>
    <row r="15" spans="2:12" x14ac:dyDescent="0.3">
      <c r="F15" s="15" t="s">
        <v>4</v>
      </c>
      <c r="G15" s="63">
        <f>ASSUMPTIONS!D13</f>
        <v>0.20189199602721553</v>
      </c>
    </row>
    <row r="16" spans="2:12" x14ac:dyDescent="0.3">
      <c r="D16" s="6"/>
      <c r="F16" s="10"/>
      <c r="G16" s="97"/>
    </row>
    <row r="17" spans="6:7" x14ac:dyDescent="0.3">
      <c r="F17" s="17" t="s">
        <v>18</v>
      </c>
      <c r="G17" s="64">
        <f>(G18*G8)+(G19*G13)*(1-G15)</f>
        <v>9.9964603326412993E-2</v>
      </c>
    </row>
    <row r="18" spans="6:7" x14ac:dyDescent="0.3">
      <c r="F18" s="10" t="s">
        <v>19</v>
      </c>
      <c r="G18" s="62">
        <f>1-G19</f>
        <v>0.94</v>
      </c>
    </row>
    <row r="19" spans="6:7" ht="15" thickBot="1" x14ac:dyDescent="0.35">
      <c r="F19" s="14" t="s">
        <v>20</v>
      </c>
      <c r="G19" s="65">
        <v>0.06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CAAAA-9EB6-4823-9579-2E718701566C}">
  <dimension ref="D2:R28"/>
  <sheetViews>
    <sheetView workbookViewId="0">
      <selection activeCell="F35" sqref="F35"/>
    </sheetView>
  </sheetViews>
  <sheetFormatPr defaultRowHeight="14.4" x14ac:dyDescent="0.3"/>
  <cols>
    <col min="4" max="16" width="13.6640625" customWidth="1"/>
    <col min="21" max="21" width="11.6640625" customWidth="1"/>
  </cols>
  <sheetData>
    <row r="2" spans="4:16" ht="15" thickBot="1" x14ac:dyDescent="0.35"/>
    <row r="3" spans="4:16" ht="15" customHeight="1" x14ac:dyDescent="0.3">
      <c r="D3" s="244" t="s">
        <v>49</v>
      </c>
      <c r="E3" s="245"/>
      <c r="F3" s="245"/>
      <c r="G3" s="20"/>
      <c r="H3" s="54" t="s">
        <v>40</v>
      </c>
      <c r="I3" s="54" t="s">
        <v>41</v>
      </c>
      <c r="J3" s="54" t="s">
        <v>65</v>
      </c>
      <c r="K3" s="54" t="s">
        <v>121</v>
      </c>
      <c r="L3" s="54" t="s">
        <v>38</v>
      </c>
      <c r="M3" s="54" t="s">
        <v>39</v>
      </c>
      <c r="N3" s="54" t="s">
        <v>66</v>
      </c>
      <c r="O3" s="54" t="s">
        <v>67</v>
      </c>
      <c r="P3" s="55" t="s">
        <v>50</v>
      </c>
    </row>
    <row r="4" spans="4:16" ht="21" x14ac:dyDescent="0.35">
      <c r="D4" s="28"/>
      <c r="E4" s="21"/>
      <c r="F4" s="22"/>
      <c r="G4" s="22"/>
      <c r="H4" s="22"/>
      <c r="I4" s="22"/>
      <c r="J4" s="22"/>
      <c r="K4" s="23"/>
      <c r="L4" s="23"/>
      <c r="M4" s="23"/>
      <c r="N4" s="23"/>
      <c r="O4" s="23"/>
      <c r="P4" s="13"/>
    </row>
    <row r="5" spans="4:16" ht="15" x14ac:dyDescent="0.35">
      <c r="D5" s="29" t="s">
        <v>28</v>
      </c>
      <c r="E5" s="24"/>
      <c r="F5" s="25"/>
      <c r="G5" s="26"/>
      <c r="H5" s="47">
        <v>365</v>
      </c>
      <c r="I5" s="47">
        <v>365</v>
      </c>
      <c r="J5" s="47">
        <v>365</v>
      </c>
      <c r="K5" s="47">
        <v>365</v>
      </c>
      <c r="L5" s="47">
        <v>365</v>
      </c>
      <c r="M5" s="47">
        <v>365</v>
      </c>
      <c r="N5" s="47">
        <v>365</v>
      </c>
      <c r="O5" s="47">
        <v>365</v>
      </c>
      <c r="P5" s="13"/>
    </row>
    <row r="6" spans="4:16" ht="15" x14ac:dyDescent="0.35">
      <c r="D6" s="29" t="s">
        <v>29</v>
      </c>
      <c r="E6" s="26"/>
      <c r="F6" s="26"/>
      <c r="G6" s="26"/>
      <c r="H6" s="214">
        <f>DCF!F6</f>
        <v>31877000</v>
      </c>
      <c r="I6" s="215">
        <f>DCF!G6</f>
        <v>37281000</v>
      </c>
      <c r="J6" s="215">
        <f>DCF!H6</f>
        <v>43978000</v>
      </c>
      <c r="K6" s="216">
        <f>DCF!J6</f>
        <v>50794590</v>
      </c>
      <c r="L6" s="217">
        <f>DCF!K6</f>
        <v>58667751.450000003</v>
      </c>
      <c r="M6" s="217">
        <f>DCF!L6</f>
        <v>67761252.92475</v>
      </c>
      <c r="N6" s="217">
        <f>DCF!M6</f>
        <v>78264247.128086254</v>
      </c>
      <c r="O6" s="217">
        <f>DCF!N6</f>
        <v>90395205.432939619</v>
      </c>
      <c r="P6" s="13"/>
    </row>
    <row r="7" spans="4:16" ht="15" x14ac:dyDescent="0.35">
      <c r="D7" s="29" t="s">
        <v>2</v>
      </c>
      <c r="E7" s="26"/>
      <c r="F7" s="26"/>
      <c r="G7" s="26"/>
      <c r="H7" s="214">
        <f>DCF!F9</f>
        <v>19659000</v>
      </c>
      <c r="I7" s="215">
        <f>DCF!G9</f>
        <v>22457000</v>
      </c>
      <c r="J7" s="215">
        <f>DCF!H9</f>
        <v>26651000</v>
      </c>
      <c r="K7" s="216">
        <f>DCF!J9</f>
        <v>32021110.891980875</v>
      </c>
      <c r="L7" s="217">
        <f>DCF!K9</f>
        <v>36984383.08023791</v>
      </c>
      <c r="M7" s="217">
        <f>DCF!L9</f>
        <v>42716962.457674786</v>
      </c>
      <c r="N7" s="217">
        <f>DCF!M9</f>
        <v>49338091.638614379</v>
      </c>
      <c r="O7" s="218">
        <f>DCF!N9</f>
        <v>56985495.842599608</v>
      </c>
      <c r="P7" s="13"/>
    </row>
    <row r="8" spans="4:16" ht="15.6" x14ac:dyDescent="0.35">
      <c r="D8" s="30"/>
      <c r="E8" s="31"/>
      <c r="F8" s="26"/>
      <c r="G8" s="26"/>
      <c r="H8" s="26"/>
      <c r="I8" s="26"/>
      <c r="J8" s="26"/>
      <c r="K8" s="32"/>
      <c r="L8" s="32"/>
      <c r="M8" s="32"/>
      <c r="N8" s="32"/>
      <c r="O8" s="32"/>
      <c r="P8" s="13"/>
    </row>
    <row r="9" spans="4:16" ht="15.6" x14ac:dyDescent="0.35">
      <c r="D9" s="30"/>
      <c r="E9" s="31"/>
      <c r="F9" s="26"/>
      <c r="G9" s="26"/>
      <c r="H9" s="26"/>
      <c r="I9" s="26"/>
      <c r="J9" s="26"/>
      <c r="K9" s="32"/>
      <c r="L9" s="32"/>
      <c r="M9" s="32"/>
      <c r="N9" s="32"/>
      <c r="O9" s="32"/>
      <c r="P9" s="13"/>
    </row>
    <row r="10" spans="4:16" ht="15" x14ac:dyDescent="0.35">
      <c r="D10" s="33" t="s">
        <v>30</v>
      </c>
      <c r="E10" s="31"/>
      <c r="F10" s="26"/>
      <c r="G10" s="26"/>
      <c r="H10" s="26"/>
      <c r="I10" s="26"/>
      <c r="J10" s="26"/>
      <c r="K10" s="32"/>
      <c r="L10" s="32"/>
      <c r="M10" s="32"/>
      <c r="N10" s="32"/>
      <c r="O10" s="32"/>
      <c r="P10" s="13"/>
    </row>
    <row r="11" spans="4:16" ht="15" x14ac:dyDescent="0.35">
      <c r="D11" s="34" t="s">
        <v>31</v>
      </c>
      <c r="E11" s="26"/>
      <c r="F11" s="25" t="s">
        <v>32</v>
      </c>
      <c r="G11" s="25"/>
      <c r="H11" s="35">
        <f>SCHEDULES!H17/SCHEDULES!H6*SCHEDULES!H5</f>
        <v>39.961414185776576</v>
      </c>
      <c r="I11" s="35">
        <f>SCHEDULES!I17/SCHEDULES!I6*SCHEDULES!I5</f>
        <v>40.336900834205089</v>
      </c>
      <c r="J11" s="35">
        <f>SCHEDULES!J17/SCHEDULES!J6*SCHEDULES!J5</f>
        <v>31.621492564464049</v>
      </c>
      <c r="K11" s="35">
        <f>AVERAGE(H11:J11)</f>
        <v>37.306602528148566</v>
      </c>
      <c r="L11" s="35">
        <f>$K$11</f>
        <v>37.306602528148566</v>
      </c>
      <c r="M11" s="35">
        <f t="shared" ref="M11:O11" si="0">$K$11</f>
        <v>37.306602528148566</v>
      </c>
      <c r="N11" s="35">
        <f t="shared" si="0"/>
        <v>37.306602528148566</v>
      </c>
      <c r="O11" s="35">
        <f t="shared" si="0"/>
        <v>37.306602528148566</v>
      </c>
      <c r="P11" s="13"/>
    </row>
    <row r="12" spans="4:16" ht="15" x14ac:dyDescent="0.35">
      <c r="D12" s="34" t="s">
        <v>33</v>
      </c>
      <c r="E12" s="26"/>
      <c r="F12" s="25" t="s">
        <v>32</v>
      </c>
      <c r="G12" s="25"/>
      <c r="H12" s="35">
        <f>(H18/H7)*H5</f>
        <v>0</v>
      </c>
      <c r="I12" s="35">
        <f t="shared" ref="I12:J12" si="1">(I18/I7)*I5</f>
        <v>0</v>
      </c>
      <c r="J12" s="35">
        <f t="shared" si="1"/>
        <v>0</v>
      </c>
      <c r="K12" s="35">
        <f t="shared" ref="K12:K13" si="2">AVERAGE(H12:J12)</f>
        <v>0</v>
      </c>
      <c r="L12" s="35">
        <f>$K$12</f>
        <v>0</v>
      </c>
      <c r="M12" s="35">
        <f t="shared" ref="M12:O12" si="3">$K$12</f>
        <v>0</v>
      </c>
      <c r="N12" s="35">
        <f t="shared" si="3"/>
        <v>0</v>
      </c>
      <c r="O12" s="35">
        <f t="shared" si="3"/>
        <v>0</v>
      </c>
      <c r="P12" s="13"/>
    </row>
    <row r="13" spans="4:16" ht="15" x14ac:dyDescent="0.35">
      <c r="D13" s="34" t="s">
        <v>34</v>
      </c>
      <c r="E13" s="26"/>
      <c r="F13" s="25" t="s">
        <v>32</v>
      </c>
      <c r="G13" s="25"/>
      <c r="H13" s="35">
        <f>(H19/H7)*H5</f>
        <v>13.51645556742459</v>
      </c>
      <c r="I13" s="35">
        <f t="shared" ref="I13:J13" si="4">(I19/I7)*I5</f>
        <v>12.840094402636149</v>
      </c>
      <c r="J13" s="35">
        <f t="shared" si="4"/>
        <v>11.750778582417171</v>
      </c>
      <c r="K13" s="35">
        <f t="shared" si="2"/>
        <v>12.702442850825969</v>
      </c>
      <c r="L13" s="35">
        <f>$K$13</f>
        <v>12.702442850825969</v>
      </c>
      <c r="M13" s="120">
        <f t="shared" ref="M13:O13" si="5">$K$13</f>
        <v>12.702442850825969</v>
      </c>
      <c r="N13" s="35">
        <f t="shared" si="5"/>
        <v>12.702442850825969</v>
      </c>
      <c r="O13" s="35">
        <f t="shared" si="5"/>
        <v>12.702442850825969</v>
      </c>
      <c r="P13" s="13"/>
    </row>
    <row r="14" spans="4:16" ht="15.6" x14ac:dyDescent="0.35">
      <c r="D14" s="30"/>
      <c r="E14" s="26"/>
      <c r="F14" s="36"/>
      <c r="G14" s="36"/>
      <c r="H14" s="37"/>
      <c r="I14" s="38"/>
      <c r="J14" s="38"/>
      <c r="K14" s="39"/>
      <c r="L14" s="39"/>
      <c r="M14" s="39"/>
      <c r="N14" s="39"/>
      <c r="O14" s="39"/>
      <c r="P14" s="13"/>
    </row>
    <row r="15" spans="4:16" ht="15.6" x14ac:dyDescent="0.35">
      <c r="D15" s="30"/>
      <c r="E15" s="26"/>
      <c r="F15" s="36"/>
      <c r="G15" s="36"/>
      <c r="H15" s="37"/>
      <c r="I15" s="38"/>
      <c r="J15" s="38"/>
      <c r="K15" s="39"/>
      <c r="L15" s="39"/>
      <c r="M15" s="39"/>
      <c r="N15" s="39"/>
      <c r="O15" s="39"/>
      <c r="P15" s="13"/>
    </row>
    <row r="16" spans="4:16" ht="15" x14ac:dyDescent="0.35">
      <c r="D16" s="33" t="s">
        <v>35</v>
      </c>
      <c r="E16" s="31"/>
      <c r="F16" s="26"/>
      <c r="G16" s="26"/>
      <c r="H16" s="26"/>
      <c r="I16" s="26"/>
      <c r="J16" s="26"/>
      <c r="K16" s="32"/>
      <c r="L16" s="32"/>
      <c r="M16" s="32"/>
      <c r="N16" s="32"/>
      <c r="O16" s="32"/>
      <c r="P16" s="13"/>
    </row>
    <row r="17" spans="4:18" ht="15" x14ac:dyDescent="0.35">
      <c r="D17" s="34" t="s">
        <v>31</v>
      </c>
      <c r="E17" s="26"/>
      <c r="F17" s="26"/>
      <c r="G17" s="40"/>
      <c r="H17" s="40">
        <v>3490000</v>
      </c>
      <c r="I17" s="40">
        <v>4120000</v>
      </c>
      <c r="J17" s="40">
        <v>3810000</v>
      </c>
      <c r="K17" s="41">
        <f>(K11/K5)*K6</f>
        <v>5191708.4375623837</v>
      </c>
      <c r="L17" s="42">
        <f t="shared" ref="L17:O17" si="6">(L11/L5)*L6</f>
        <v>5996423.2453845534</v>
      </c>
      <c r="M17" s="42">
        <f t="shared" si="6"/>
        <v>6925868.8484191587</v>
      </c>
      <c r="N17" s="42">
        <f t="shared" si="6"/>
        <v>7999378.5199241284</v>
      </c>
      <c r="O17" s="42">
        <f t="shared" si="6"/>
        <v>9239282.1905123685</v>
      </c>
      <c r="P17" s="13"/>
    </row>
    <row r="18" spans="4:18" ht="15" x14ac:dyDescent="0.35">
      <c r="D18" s="34" t="s">
        <v>33</v>
      </c>
      <c r="E18" s="26"/>
      <c r="F18" s="26"/>
      <c r="G18" s="40"/>
      <c r="H18" s="40">
        <v>0</v>
      </c>
      <c r="I18" s="40">
        <v>0</v>
      </c>
      <c r="J18" s="40">
        <v>0</v>
      </c>
      <c r="K18" s="121">
        <f>(K12/K5)*K7</f>
        <v>0</v>
      </c>
      <c r="L18" s="42">
        <f t="shared" ref="L18:O18" si="7">(L12/L5)*L7</f>
        <v>0</v>
      </c>
      <c r="M18" s="42">
        <f t="shared" si="7"/>
        <v>0</v>
      </c>
      <c r="N18" s="42">
        <f t="shared" si="7"/>
        <v>0</v>
      </c>
      <c r="O18" s="42">
        <f t="shared" si="7"/>
        <v>0</v>
      </c>
      <c r="P18" s="13"/>
    </row>
    <row r="19" spans="4:18" ht="15" x14ac:dyDescent="0.35">
      <c r="D19" s="34" t="s">
        <v>34</v>
      </c>
      <c r="E19" s="26"/>
      <c r="F19" s="26"/>
      <c r="G19" s="40"/>
      <c r="H19" s="40">
        <v>728000</v>
      </c>
      <c r="I19" s="40">
        <v>790000</v>
      </c>
      <c r="J19" s="40">
        <v>858000</v>
      </c>
      <c r="K19" s="41">
        <f>(K13/K5)*K7</f>
        <v>1114373.5099324605</v>
      </c>
      <c r="L19" s="42">
        <f t="shared" ref="L19:O19" si="8">(L13/L5)*L7</f>
        <v>1287101.4039719917</v>
      </c>
      <c r="M19" s="42">
        <f t="shared" si="8"/>
        <v>1486602.1215876506</v>
      </c>
      <c r="N19" s="42">
        <f t="shared" si="8"/>
        <v>1717025.4504337364</v>
      </c>
      <c r="O19" s="42">
        <f t="shared" si="8"/>
        <v>1983164.3952509656</v>
      </c>
      <c r="P19" s="13"/>
    </row>
    <row r="20" spans="4:18" ht="15.6" x14ac:dyDescent="0.35">
      <c r="D20" s="30"/>
      <c r="E20" s="31"/>
      <c r="F20" s="26"/>
      <c r="G20" s="26"/>
      <c r="H20" s="26"/>
      <c r="I20" s="26"/>
      <c r="J20" s="26"/>
      <c r="K20" s="32"/>
      <c r="L20" s="32"/>
      <c r="M20" s="32"/>
      <c r="N20" s="32"/>
      <c r="O20" s="32"/>
      <c r="P20" s="13"/>
    </row>
    <row r="21" spans="4:18" ht="15.6" x14ac:dyDescent="0.35">
      <c r="D21" s="30"/>
      <c r="E21" s="31"/>
      <c r="F21" s="26"/>
      <c r="G21" s="26"/>
      <c r="H21" s="26"/>
      <c r="I21" s="26"/>
      <c r="J21" s="26"/>
      <c r="K21" s="32"/>
      <c r="L21" s="32"/>
      <c r="M21" s="32"/>
      <c r="N21" s="32"/>
      <c r="O21" s="32"/>
      <c r="P21" s="13"/>
      <c r="R21" s="122"/>
    </row>
    <row r="22" spans="4:18" ht="15.6" x14ac:dyDescent="0.35">
      <c r="D22" s="30"/>
      <c r="E22" s="31"/>
      <c r="F22" s="26"/>
      <c r="G22" s="26"/>
      <c r="H22" s="26"/>
      <c r="I22" s="26"/>
      <c r="J22" s="26"/>
      <c r="K22" s="32"/>
      <c r="L22" s="32"/>
      <c r="M22" s="32"/>
      <c r="N22" s="32"/>
      <c r="O22" s="32"/>
      <c r="P22" s="13"/>
    </row>
    <row r="23" spans="4:18" ht="15.6" x14ac:dyDescent="0.35">
      <c r="D23" s="30"/>
      <c r="E23" s="31"/>
      <c r="F23" s="26"/>
      <c r="G23" s="26"/>
      <c r="H23" s="26"/>
      <c r="I23" s="26"/>
      <c r="J23" s="26"/>
      <c r="K23" s="32"/>
      <c r="L23" s="32"/>
      <c r="M23" s="32"/>
      <c r="N23" s="32"/>
      <c r="O23" s="32"/>
      <c r="P23" s="13"/>
    </row>
    <row r="24" spans="4:18" ht="15" x14ac:dyDescent="0.35">
      <c r="D24" s="33" t="s">
        <v>36</v>
      </c>
      <c r="E24" s="31"/>
      <c r="F24" s="26"/>
      <c r="G24" s="26"/>
      <c r="H24" s="26"/>
      <c r="I24" s="43"/>
      <c r="J24" s="43"/>
      <c r="K24" s="43"/>
      <c r="L24" s="43"/>
      <c r="M24" s="43"/>
      <c r="N24" s="43"/>
      <c r="O24" s="43"/>
      <c r="P24" s="13"/>
    </row>
    <row r="25" spans="4:18" ht="15" x14ac:dyDescent="0.35">
      <c r="D25" s="34" t="s">
        <v>31</v>
      </c>
      <c r="E25" s="26"/>
      <c r="F25" s="26"/>
      <c r="G25" s="26"/>
      <c r="H25" s="44"/>
      <c r="I25" s="27">
        <f t="shared" ref="I25:O26" si="9">H17-I17</f>
        <v>-630000</v>
      </c>
      <c r="J25" s="27">
        <f t="shared" si="9"/>
        <v>310000</v>
      </c>
      <c r="K25" s="27">
        <f t="shared" si="9"/>
        <v>-1381708.4375623837</v>
      </c>
      <c r="L25" s="27">
        <f t="shared" si="9"/>
        <v>-804714.80782216974</v>
      </c>
      <c r="M25" s="27">
        <f t="shared" si="9"/>
        <v>-929445.60303460527</v>
      </c>
      <c r="N25" s="27">
        <f t="shared" si="9"/>
        <v>-1073509.6715049697</v>
      </c>
      <c r="O25" s="27">
        <f t="shared" si="9"/>
        <v>-1239903.67058824</v>
      </c>
      <c r="P25" s="13"/>
    </row>
    <row r="26" spans="4:18" ht="15" x14ac:dyDescent="0.35">
      <c r="D26" s="34" t="s">
        <v>33</v>
      </c>
      <c r="E26" s="26"/>
      <c r="F26" s="26"/>
      <c r="G26" s="26"/>
      <c r="H26" s="44"/>
      <c r="I26" s="27">
        <f t="shared" si="9"/>
        <v>0</v>
      </c>
      <c r="J26" s="27">
        <f t="shared" si="9"/>
        <v>0</v>
      </c>
      <c r="K26" s="27">
        <f>J18-K18</f>
        <v>0</v>
      </c>
      <c r="L26" s="27">
        <f>K18-L18</f>
        <v>0</v>
      </c>
      <c r="M26" s="27">
        <f>L18-M18</f>
        <v>0</v>
      </c>
      <c r="N26" s="27">
        <f>M18-N18</f>
        <v>0</v>
      </c>
      <c r="O26" s="27">
        <f t="shared" si="9"/>
        <v>0</v>
      </c>
      <c r="P26" s="13"/>
    </row>
    <row r="27" spans="4:18" ht="15" x14ac:dyDescent="0.35">
      <c r="D27" s="34" t="s">
        <v>34</v>
      </c>
      <c r="E27" s="26"/>
      <c r="F27" s="26"/>
      <c r="G27" s="26"/>
      <c r="H27" s="44"/>
      <c r="I27" s="27">
        <f>I19-H19</f>
        <v>62000</v>
      </c>
      <c r="J27" s="27">
        <f t="shared" ref="J27:O27" si="10">J19-I19</f>
        <v>68000</v>
      </c>
      <c r="K27" s="27">
        <f t="shared" si="10"/>
        <v>256373.5099324605</v>
      </c>
      <c r="L27" s="27">
        <f t="shared" si="10"/>
        <v>172727.89403953124</v>
      </c>
      <c r="M27" s="27">
        <f t="shared" si="10"/>
        <v>199500.71761565888</v>
      </c>
      <c r="N27" s="27">
        <f t="shared" si="10"/>
        <v>230423.32884608582</v>
      </c>
      <c r="O27" s="27">
        <f t="shared" si="10"/>
        <v>266138.94481722917</v>
      </c>
      <c r="P27" s="13"/>
    </row>
    <row r="28" spans="4:18" ht="15.6" thickBot="1" x14ac:dyDescent="0.4">
      <c r="D28" s="45" t="s">
        <v>37</v>
      </c>
      <c r="E28" s="46"/>
      <c r="F28" s="46"/>
      <c r="G28" s="46"/>
      <c r="H28" s="46"/>
      <c r="I28" s="48">
        <f>SUM(I25:I27)</f>
        <v>-568000</v>
      </c>
      <c r="J28" s="48">
        <f t="shared" ref="J28:O28" si="11">SUM(J25:J27)</f>
        <v>378000</v>
      </c>
      <c r="K28" s="48">
        <f t="shared" si="11"/>
        <v>-1125334.9276299232</v>
      </c>
      <c r="L28" s="48">
        <f t="shared" si="11"/>
        <v>-631986.9137826385</v>
      </c>
      <c r="M28" s="48">
        <f t="shared" si="11"/>
        <v>-729944.88541894639</v>
      </c>
      <c r="N28" s="48">
        <f t="shared" si="11"/>
        <v>-843086.34265888389</v>
      </c>
      <c r="O28" s="48">
        <f t="shared" si="11"/>
        <v>-973764.72577101085</v>
      </c>
      <c r="P28" s="219">
        <f>O28</f>
        <v>-973764.72577101085</v>
      </c>
    </row>
  </sheetData>
  <mergeCells count="1">
    <mergeCell ref="D3:F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EE5AC-92D0-404E-B814-36062D1B52F9}">
  <dimension ref="B3:P37"/>
  <sheetViews>
    <sheetView topLeftCell="A2" zoomScale="85" zoomScaleNormal="85" workbookViewId="0">
      <selection activeCell="P35" sqref="P35:P37"/>
    </sheetView>
  </sheetViews>
  <sheetFormatPr defaultColWidth="15.6640625" defaultRowHeight="14.4" x14ac:dyDescent="0.3"/>
  <cols>
    <col min="1" max="1" width="20.6640625" customWidth="1"/>
    <col min="4" max="4" width="16.44140625" customWidth="1"/>
    <col min="6" max="6" width="18.88671875" bestFit="1" customWidth="1"/>
    <col min="7" max="7" width="16.33203125" bestFit="1" customWidth="1"/>
    <col min="8" max="8" width="18.88671875" bestFit="1" customWidth="1"/>
    <col min="10" max="12" width="17.5546875" bestFit="1" customWidth="1"/>
    <col min="14" max="14" width="18.6640625" customWidth="1"/>
    <col min="15" max="15" width="18.44140625" customWidth="1"/>
    <col min="16" max="16" width="18.88671875" bestFit="1" customWidth="1"/>
  </cols>
  <sheetData>
    <row r="3" spans="2:16" ht="15" thickBot="1" x14ac:dyDescent="0.35"/>
    <row r="4" spans="2:16" ht="23.4" x14ac:dyDescent="0.45">
      <c r="B4" s="184" t="s">
        <v>103</v>
      </c>
      <c r="C4" s="185"/>
      <c r="D4" s="185"/>
      <c r="E4" s="20" t="s">
        <v>105</v>
      </c>
      <c r="F4" s="146"/>
      <c r="G4" s="146"/>
      <c r="H4" s="146"/>
      <c r="I4" s="147"/>
      <c r="J4" s="146"/>
      <c r="K4" s="146"/>
      <c r="L4" s="146"/>
      <c r="M4" s="146"/>
      <c r="N4" s="146"/>
      <c r="O4" s="146"/>
      <c r="P4" s="148"/>
    </row>
    <row r="5" spans="2:16" x14ac:dyDescent="0.3">
      <c r="B5" s="149"/>
      <c r="P5" s="150"/>
    </row>
    <row r="6" spans="2:16" ht="15.6" x14ac:dyDescent="0.3">
      <c r="B6" s="151"/>
      <c r="C6" s="152"/>
      <c r="D6" s="188" t="s">
        <v>102</v>
      </c>
      <c r="E6" s="189"/>
      <c r="F6" s="189"/>
      <c r="G6" s="189"/>
      <c r="H6" s="189"/>
      <c r="I6" s="152"/>
      <c r="J6" s="188" t="s">
        <v>101</v>
      </c>
      <c r="K6" s="189"/>
      <c r="L6" s="189"/>
      <c r="M6" s="152"/>
      <c r="N6" s="188" t="s">
        <v>100</v>
      </c>
      <c r="O6" s="189"/>
      <c r="P6" s="190"/>
    </row>
    <row r="7" spans="2:16" ht="31.2" x14ac:dyDescent="0.3">
      <c r="B7" s="153" t="s">
        <v>99</v>
      </c>
      <c r="C7" s="154" t="s">
        <v>98</v>
      </c>
      <c r="D7" s="155" t="s">
        <v>97</v>
      </c>
      <c r="E7" s="155" t="s">
        <v>86</v>
      </c>
      <c r="F7" s="155" t="s">
        <v>96</v>
      </c>
      <c r="G7" s="155" t="s">
        <v>88</v>
      </c>
      <c r="H7" s="155" t="s">
        <v>95</v>
      </c>
      <c r="I7" s="156"/>
      <c r="J7" s="156" t="s">
        <v>29</v>
      </c>
      <c r="K7" s="156" t="s">
        <v>23</v>
      </c>
      <c r="L7" s="156" t="s">
        <v>94</v>
      </c>
      <c r="M7" s="156"/>
      <c r="N7" s="156" t="s">
        <v>90</v>
      </c>
      <c r="O7" s="156" t="s">
        <v>24</v>
      </c>
      <c r="P7" s="157" t="s">
        <v>25</v>
      </c>
    </row>
    <row r="8" spans="2:16" ht="15.6" x14ac:dyDescent="0.3">
      <c r="B8" s="158"/>
      <c r="C8" s="159"/>
      <c r="D8" s="160"/>
      <c r="E8" s="160"/>
      <c r="F8" s="160"/>
      <c r="G8" s="160"/>
      <c r="H8" s="160"/>
      <c r="I8" s="161"/>
      <c r="J8" s="161"/>
      <c r="K8" s="161"/>
      <c r="L8" s="161"/>
      <c r="M8" s="161"/>
      <c r="N8" s="186"/>
      <c r="O8" s="161"/>
      <c r="P8" s="162"/>
    </row>
    <row r="9" spans="2:16" ht="18" x14ac:dyDescent="0.35">
      <c r="B9" s="163" t="s">
        <v>125</v>
      </c>
      <c r="C9" s="164" t="s">
        <v>124</v>
      </c>
      <c r="D9" s="227">
        <v>94.38</v>
      </c>
      <c r="E9" s="226">
        <v>2090000</v>
      </c>
      <c r="F9" s="237">
        <f>D9*E9</f>
        <v>197254200</v>
      </c>
      <c r="G9" s="237">
        <v>4000000</v>
      </c>
      <c r="H9" s="237">
        <f>F9+G9</f>
        <v>201254200</v>
      </c>
      <c r="I9" s="165"/>
      <c r="J9" s="227">
        <v>47330000</v>
      </c>
      <c r="K9" s="227">
        <v>5770000</v>
      </c>
      <c r="L9" s="227">
        <v>12630000</v>
      </c>
      <c r="M9" s="166"/>
      <c r="N9" s="167">
        <f>H9/J9</f>
        <v>4.252148742869216</v>
      </c>
      <c r="O9" s="167">
        <f>H9/K9</f>
        <v>34.879410745233969</v>
      </c>
      <c r="P9" s="187">
        <f>(D9*E9)/L9</f>
        <v>15.617909738717339</v>
      </c>
    </row>
    <row r="10" spans="2:16" ht="18" x14ac:dyDescent="0.35">
      <c r="B10" s="169" t="s">
        <v>126</v>
      </c>
      <c r="C10" s="170" t="s">
        <v>127</v>
      </c>
      <c r="D10" s="228">
        <v>17.649999999999999</v>
      </c>
      <c r="E10" s="235">
        <v>397910</v>
      </c>
      <c r="F10" s="236">
        <f t="shared" ref="F10:F14" si="0">D10*E10</f>
        <v>7023111.4999999991</v>
      </c>
      <c r="G10" s="236">
        <v>-800000</v>
      </c>
      <c r="H10" s="236">
        <f t="shared" ref="H10:H14" si="1">F10+G10</f>
        <v>6223111.4999999991</v>
      </c>
      <c r="I10" s="172"/>
      <c r="J10" s="228">
        <v>6110000</v>
      </c>
      <c r="K10" s="228">
        <v>161820</v>
      </c>
      <c r="L10" s="228">
        <v>92010</v>
      </c>
      <c r="M10" s="173"/>
      <c r="N10" s="240" t="s">
        <v>137</v>
      </c>
      <c r="O10" s="174">
        <f t="shared" ref="O10:O13" si="2">H10/K10</f>
        <v>38.456998516870591</v>
      </c>
      <c r="P10" s="175">
        <f t="shared" ref="P10" si="3">(D10*E10)/L10</f>
        <v>76.329871753070307</v>
      </c>
    </row>
    <row r="11" spans="2:16" ht="18" x14ac:dyDescent="0.35">
      <c r="B11" s="169" t="s">
        <v>128</v>
      </c>
      <c r="C11" s="170" t="s">
        <v>129</v>
      </c>
      <c r="D11" s="228">
        <v>4.97</v>
      </c>
      <c r="E11" s="235">
        <v>3950000</v>
      </c>
      <c r="F11" s="236">
        <f t="shared" si="0"/>
        <v>19631500</v>
      </c>
      <c r="G11" s="236">
        <v>-5200000</v>
      </c>
      <c r="H11" s="236">
        <f t="shared" si="1"/>
        <v>14431500</v>
      </c>
      <c r="I11" s="172"/>
      <c r="J11" s="228">
        <v>3070000</v>
      </c>
      <c r="K11" s="228">
        <v>216000</v>
      </c>
      <c r="L11" s="228">
        <v>112000</v>
      </c>
      <c r="M11" s="173"/>
      <c r="N11" s="174">
        <f t="shared" ref="N11:N13" si="4">H11/J11</f>
        <v>4.7008143322475568</v>
      </c>
      <c r="O11" s="240" t="s">
        <v>137</v>
      </c>
      <c r="P11" s="239" t="s">
        <v>137</v>
      </c>
    </row>
    <row r="12" spans="2:16" ht="18" x14ac:dyDescent="0.35">
      <c r="B12" s="169" t="s">
        <v>130</v>
      </c>
      <c r="C12" s="170" t="s">
        <v>131</v>
      </c>
      <c r="D12" s="228">
        <v>6.26</v>
      </c>
      <c r="E12" s="235">
        <v>4660000</v>
      </c>
      <c r="F12" s="236">
        <f t="shared" si="0"/>
        <v>29171600</v>
      </c>
      <c r="G12" s="236">
        <v>-3500000</v>
      </c>
      <c r="H12" s="236">
        <f t="shared" si="1"/>
        <v>25671600</v>
      </c>
      <c r="I12" s="172"/>
      <c r="J12" s="228">
        <v>30000000</v>
      </c>
      <c r="K12" s="228">
        <v>215260</v>
      </c>
      <c r="L12" s="228">
        <v>-767100</v>
      </c>
      <c r="M12" s="173"/>
      <c r="N12" s="240" t="s">
        <v>137</v>
      </c>
      <c r="O12" s="240" t="s">
        <v>137</v>
      </c>
      <c r="P12" s="239" t="s">
        <v>136</v>
      </c>
    </row>
    <row r="13" spans="2:16" ht="18" x14ac:dyDescent="0.35">
      <c r="B13" s="169" t="s">
        <v>132</v>
      </c>
      <c r="C13" s="170" t="s">
        <v>133</v>
      </c>
      <c r="D13" s="228">
        <v>250.8</v>
      </c>
      <c r="E13" s="235">
        <v>424500</v>
      </c>
      <c r="F13" s="236">
        <f t="shared" si="0"/>
        <v>106464600</v>
      </c>
      <c r="G13" s="236">
        <v>-4500000</v>
      </c>
      <c r="H13" s="236">
        <f t="shared" si="1"/>
        <v>101964600</v>
      </c>
      <c r="I13" s="172"/>
      <c r="J13" s="228">
        <v>11890000</v>
      </c>
      <c r="K13" s="228">
        <v>11800000</v>
      </c>
      <c r="L13" s="228">
        <v>718000</v>
      </c>
      <c r="M13" s="173"/>
      <c r="N13" s="174">
        <f t="shared" si="4"/>
        <v>8.5756602186711515</v>
      </c>
      <c r="O13" s="174">
        <f t="shared" si="2"/>
        <v>8.6410677966101694</v>
      </c>
      <c r="P13" s="239" t="s">
        <v>137</v>
      </c>
    </row>
    <row r="14" spans="2:16" ht="18" x14ac:dyDescent="0.35">
      <c r="B14" s="169" t="s">
        <v>134</v>
      </c>
      <c r="C14" s="170" t="s">
        <v>135</v>
      </c>
      <c r="D14" s="228">
        <v>160.72</v>
      </c>
      <c r="E14" s="235">
        <v>35190</v>
      </c>
      <c r="F14" s="236">
        <f t="shared" si="0"/>
        <v>5655736.7999999998</v>
      </c>
      <c r="G14" s="236">
        <v>26000000</v>
      </c>
      <c r="H14" s="236">
        <f t="shared" si="1"/>
        <v>31655736.800000001</v>
      </c>
      <c r="I14" s="172"/>
      <c r="J14" s="228">
        <v>11660000</v>
      </c>
      <c r="K14" s="228">
        <v>5360000</v>
      </c>
      <c r="L14" s="228">
        <v>-2220000</v>
      </c>
      <c r="M14" s="173"/>
      <c r="N14" s="174">
        <f t="shared" ref="N14" si="5">H14/J14</f>
        <v>2.7149002401372213</v>
      </c>
      <c r="O14" s="174">
        <f t="shared" ref="O14" si="6">H14/K14</f>
        <v>5.9059210447761199</v>
      </c>
      <c r="P14" s="239" t="s">
        <v>136</v>
      </c>
    </row>
    <row r="15" spans="2:16" ht="15.6" x14ac:dyDescent="0.3">
      <c r="B15" s="149"/>
      <c r="D15" s="171"/>
      <c r="E15" s="172"/>
      <c r="N15" s="174"/>
      <c r="P15" s="150"/>
    </row>
    <row r="16" spans="2:16" ht="15.6" x14ac:dyDescent="0.3">
      <c r="B16" s="163" t="s">
        <v>76</v>
      </c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67">
        <f>MAX(N10:N14)</f>
        <v>8.5756602186711515</v>
      </c>
      <c r="O16" s="167">
        <f t="shared" ref="O16:P16" si="7">MAX(O10:O14)</f>
        <v>38.456998516870591</v>
      </c>
      <c r="P16" s="168">
        <f t="shared" si="7"/>
        <v>76.329871753070307</v>
      </c>
    </row>
    <row r="17" spans="2:16" ht="15.6" x14ac:dyDescent="0.3">
      <c r="B17" s="163" t="s">
        <v>93</v>
      </c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67">
        <f>_xlfn.QUARTILE.INC(N10:N14,3)</f>
        <v>6.6382372754593542</v>
      </c>
      <c r="O17" s="167">
        <f t="shared" ref="O17:P17" si="8">_xlfn.QUARTILE.INC(O10:O14,3)</f>
        <v>23.549033156740379</v>
      </c>
      <c r="P17" s="168">
        <f t="shared" si="8"/>
        <v>76.329871753070307</v>
      </c>
    </row>
    <row r="18" spans="2:16" ht="15.6" x14ac:dyDescent="0.3">
      <c r="B18" s="178" t="s">
        <v>69</v>
      </c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9">
        <f>HARMEAN(N10:N14)</f>
        <v>4.2999911370355282</v>
      </c>
      <c r="O18" s="179">
        <f t="shared" ref="O18" si="9">HARMEAN(O10:O14)</f>
        <v>9.6447173035521594</v>
      </c>
      <c r="P18" s="238">
        <f>HARMEAN(P10:P14)</f>
        <v>76.329871753070307</v>
      </c>
    </row>
    <row r="19" spans="2:16" ht="15.6" x14ac:dyDescent="0.3">
      <c r="B19" s="178" t="s">
        <v>92</v>
      </c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9">
        <f>MEDIAN(N10:N14)</f>
        <v>4.7008143322475568</v>
      </c>
      <c r="O19" s="179">
        <f t="shared" ref="O19:P19" si="10">MEDIAN(O10:O14)</f>
        <v>8.6410677966101694</v>
      </c>
      <c r="P19" s="180">
        <f t="shared" si="10"/>
        <v>76.329871753070307</v>
      </c>
    </row>
    <row r="20" spans="2:16" ht="15.6" x14ac:dyDescent="0.3">
      <c r="B20" s="163" t="s">
        <v>91</v>
      </c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67">
        <f>_xlfn.QUARTILE.INC(N10:N14,1)</f>
        <v>3.7078572861923891</v>
      </c>
      <c r="O20" s="167">
        <f t="shared" ref="O20:P20" si="11">_xlfn.QUARTILE.INC(O10:O14,1)</f>
        <v>7.2734944206931447</v>
      </c>
      <c r="P20" s="168">
        <f t="shared" si="11"/>
        <v>76.329871753070307</v>
      </c>
    </row>
    <row r="21" spans="2:16" ht="15.6" x14ac:dyDescent="0.3">
      <c r="B21" s="163" t="s">
        <v>75</v>
      </c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67">
        <f>MIN(N10:N14)</f>
        <v>2.7149002401372213</v>
      </c>
      <c r="O21" s="167">
        <f t="shared" ref="O21:P21" si="12">MIN(O10:O14)</f>
        <v>5.9059210447761199</v>
      </c>
      <c r="P21" s="168">
        <f t="shared" si="12"/>
        <v>76.329871753070307</v>
      </c>
    </row>
    <row r="22" spans="2:16" x14ac:dyDescent="0.3">
      <c r="B22" s="10"/>
      <c r="P22" s="13"/>
    </row>
    <row r="23" spans="2:16" x14ac:dyDescent="0.3">
      <c r="B23" s="10"/>
      <c r="M23" s="192" t="s">
        <v>109</v>
      </c>
      <c r="N23">
        <f>INDEX(N16:N21, MATCH(M$24, B$16:B$21, 0))</f>
        <v>8.5756602186711515</v>
      </c>
      <c r="O23">
        <f>INDEX(O16:O21, MATCH(M$24, B$16:B$21, 0))</f>
        <v>38.456998516870591</v>
      </c>
      <c r="P23" s="13">
        <f>INDEX(P16:P21, MATCH(M$24, B$16:B$21, 0))</f>
        <v>76.329871753070307</v>
      </c>
    </row>
    <row r="24" spans="2:16" x14ac:dyDescent="0.3">
      <c r="B24" s="10"/>
      <c r="M24" s="202" t="s">
        <v>76</v>
      </c>
      <c r="P24" s="13"/>
    </row>
    <row r="25" spans="2:16" x14ac:dyDescent="0.3">
      <c r="B25" s="10"/>
      <c r="P25" s="13"/>
    </row>
    <row r="26" spans="2:16" x14ac:dyDescent="0.3">
      <c r="B26" s="149"/>
      <c r="P26" s="150"/>
    </row>
    <row r="27" spans="2:16" ht="15.6" x14ac:dyDescent="0.3">
      <c r="B27" s="151" t="s">
        <v>104</v>
      </c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56" t="s">
        <v>90</v>
      </c>
      <c r="O27" s="156" t="s">
        <v>24</v>
      </c>
      <c r="P27" s="157" t="s">
        <v>25</v>
      </c>
    </row>
    <row r="28" spans="2:16" ht="15.6" x14ac:dyDescent="0.3">
      <c r="B28" s="169" t="s">
        <v>89</v>
      </c>
      <c r="J28" s="182"/>
      <c r="N28" s="241">
        <f>$J$9*N23</f>
        <v>405885998.14970559</v>
      </c>
      <c r="O28" s="241">
        <f>$K$9*O23</f>
        <v>221896881.44234332</v>
      </c>
      <c r="P28" s="191"/>
    </row>
    <row r="29" spans="2:16" ht="15.6" x14ac:dyDescent="0.3">
      <c r="B29" s="169" t="s">
        <v>88</v>
      </c>
      <c r="G29" s="183"/>
      <c r="J29" s="182"/>
      <c r="N29" s="229">
        <f>G9</f>
        <v>4000000</v>
      </c>
      <c r="O29" s="229">
        <f>G9</f>
        <v>4000000</v>
      </c>
      <c r="P29" s="230"/>
    </row>
    <row r="30" spans="2:16" ht="15.6" x14ac:dyDescent="0.3">
      <c r="B30" s="169" t="s">
        <v>87</v>
      </c>
      <c r="G30" s="183"/>
      <c r="J30" s="182"/>
      <c r="N30" s="229">
        <f>N28+N29</f>
        <v>409885998.14970559</v>
      </c>
      <c r="O30" s="229">
        <f t="shared" ref="O30" si="13">O28+O29</f>
        <v>225896881.44234332</v>
      </c>
      <c r="P30" s="230">
        <f>L9*P23</f>
        <v>964046280.24127793</v>
      </c>
    </row>
    <row r="31" spans="2:16" ht="15.6" x14ac:dyDescent="0.3">
      <c r="B31" s="169" t="s">
        <v>86</v>
      </c>
      <c r="G31" s="183"/>
      <c r="N31" s="229">
        <f>$E$9</f>
        <v>2090000</v>
      </c>
      <c r="O31" s="229">
        <f>$E$9</f>
        <v>2090000</v>
      </c>
      <c r="P31" s="230">
        <f>$E$9</f>
        <v>2090000</v>
      </c>
    </row>
    <row r="32" spans="2:16" ht="15.6" x14ac:dyDescent="0.3">
      <c r="B32" s="196" t="s">
        <v>85</v>
      </c>
      <c r="C32" s="177"/>
      <c r="D32" s="193"/>
      <c r="E32" s="193"/>
      <c r="F32" s="177"/>
      <c r="G32" s="194"/>
      <c r="H32" s="177"/>
      <c r="I32" s="177"/>
      <c r="J32" s="177"/>
      <c r="K32" s="177"/>
      <c r="L32" s="177"/>
      <c r="M32" s="177"/>
      <c r="N32" s="231">
        <f>N30/N31</f>
        <v>196.11770246397396</v>
      </c>
      <c r="O32" s="231">
        <f t="shared" ref="O32:P32" si="14">O30/O31</f>
        <v>108.08463226906379</v>
      </c>
      <c r="P32" s="232">
        <f t="shared" si="14"/>
        <v>461.26616279486984</v>
      </c>
    </row>
    <row r="33" spans="2:16" x14ac:dyDescent="0.3">
      <c r="B33" s="10"/>
      <c r="P33" s="13"/>
    </row>
    <row r="34" spans="2:16" ht="15.6" x14ac:dyDescent="0.3">
      <c r="B34" s="124"/>
      <c r="L34" t="s">
        <v>106</v>
      </c>
      <c r="N34" s="201" t="s">
        <v>110</v>
      </c>
      <c r="O34" s="197"/>
      <c r="P34" s="233">
        <f>(N32*50+45*O32+5*P32)/100</f>
        <v>169.76024389280917</v>
      </c>
    </row>
    <row r="35" spans="2:16" ht="15.6" x14ac:dyDescent="0.3">
      <c r="B35" s="124"/>
      <c r="L35" t="s">
        <v>107</v>
      </c>
      <c r="N35" s="195" t="s">
        <v>111</v>
      </c>
      <c r="O35" s="197"/>
      <c r="P35" s="233">
        <v>75.900000000000006</v>
      </c>
    </row>
    <row r="36" spans="2:16" ht="15.6" x14ac:dyDescent="0.3">
      <c r="B36" s="124"/>
      <c r="L36" t="s">
        <v>108</v>
      </c>
      <c r="N36" s="195" t="s">
        <v>112</v>
      </c>
      <c r="O36" s="197"/>
      <c r="P36" s="233">
        <v>85.55</v>
      </c>
    </row>
    <row r="37" spans="2:16" ht="16.2" thickBot="1" x14ac:dyDescent="0.35">
      <c r="B37" s="19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9" t="s">
        <v>113</v>
      </c>
      <c r="O37" s="200"/>
      <c r="P37" s="234">
        <v>169.76</v>
      </c>
    </row>
  </sheetData>
  <dataValidations count="1">
    <dataValidation type="list" allowBlank="1" showInputMessage="1" showErrorMessage="1" sqref="M24" xr:uid="{92A50753-D472-474A-8000-434E8A94F5F3}">
      <formula1>$B$16:$B$21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37D86-A501-46EB-9463-7F18DC6294A5}">
  <dimension ref="A1"/>
  <sheetViews>
    <sheetView topLeftCell="A21" zoomScale="85" zoomScaleNormal="85" workbookViewId="0">
      <selection activeCell="E7" sqref="E7"/>
    </sheetView>
  </sheetViews>
  <sheetFormatPr defaultRowHeight="14.4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v I U h W 9 H X H A i l A A A A 9 w A A A B I A H A B D b 2 5 m a W c v U G F j a 2 F n Z S 5 4 b W w g o h g A K K A U A A A A A A A A A A A A A A A A A A A A A A A A A A A A h Y + 9 D o I w A I R f h X S n f 2 o 0 p J T B V R K j x r g 2 p U I j F N M W y 7 s 5 + E i + g h h F 3 R z v 7 r v k 7 n 6 9 s a x v 6 u i i r N O t S Q G B G E T K y L b Q p k x B 5 4 / x A m S c r Y U 8 i V J F A 2 x c 0 j u d g s r 7 c 4 J Q C A G G C W x t i S j G B B 3 y 1 V Z W q h G x N s 4 L I x X 4 t I r / L c D Z / j W G U 0 i m M 0 g w n U P M 0 O i y X J s v Q Y f B z / T H Z M u u 9 p 1 V 3 N t 4 t 2 F o l A y 9 T / A H U E s D B B Q A A g A I A L y F I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8 h S F b K I p H u A 4 A A A A R A A A A E w A c A E Z v c m 1 1 b G F z L 1 N l Y 3 R p b 2 4 x L m 0 g o h g A K K A U A A A A A A A A A A A A A A A A A A A A A A A A A A A A K 0 5 N L s n M z 1 M I h t C G 1 g B Q S w E C L Q A U A A I A C A C 8 h S F b 0 d c c C K U A A A D 3 A A A A E g A A A A A A A A A A A A A A A A A A A A A A Q 2 9 u Z m l n L 1 B h Y 2 t h Z 2 U u e G 1 s U E s B A i 0 A F A A C A A g A v I U h W w / K 6 a u k A A A A 6 Q A A A B M A A A A A A A A A A A A A A A A A 8 Q A A A F t D b 2 5 0 Z W 5 0 X 1 R 5 c G V z X S 5 4 b W x Q S w E C L Q A U A A I A C A C 8 h S F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B m b X 3 m H f J 0 e y v N l F e V N g l w A A A A A C A A A A A A A Q Z g A A A A E A A C A A A A B o W 3 E Z m q x G d r v i j b U h L m L n a h O W L r C 4 f z z u s w c l B q r T s g A A A A A O g A A A A A I A A C A A A A D V P P w M H 8 D z 6 R U P L J 7 L 6 j K 5 w l 3 a c j y L C D v e N l T G m g P M i F A A A A D j z t 2 s l g y x a h 9 8 / 9 a c e t S C c T I c v 5 R K W w 6 t H F i 7 y U l h S O B F a H + n m 0 + U f O G 2 q y p I s 5 I S Q l q 9 O f 3 t q t a w m E 3 9 R H P s E M 3 b U F p / w A g z Z 7 4 F k P E A 9 k A A A A A t H 4 2 d 1 X C s T u 7 A E I i A 8 y 8 K p 9 N C W o W V l A X d T K n F N o l Y q 1 5 2 Z 8 X 3 1 K a W / q e t P l 0 v 4 0 U k H / 1 M C n 4 H Z J P h B E b Y u L F y < / D a t a M a s h u p > 
</file>

<file path=customXml/itemProps1.xml><?xml version="1.0" encoding="utf-8"?>
<ds:datastoreItem xmlns:ds="http://schemas.openxmlformats.org/officeDocument/2006/customXml" ds:itemID="{550A27EA-DE46-415B-A66E-C8FEBE63127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DCF</vt:lpstr>
      <vt:lpstr>ASSUMPTIONS</vt:lpstr>
      <vt:lpstr>WACC</vt:lpstr>
      <vt:lpstr>SCHEDULES</vt:lpstr>
      <vt:lpstr>CCA</vt:lpstr>
      <vt:lpstr>ABOUT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furkan panayir</dc:creator>
  <cp:lastModifiedBy>furkan panayir</cp:lastModifiedBy>
  <dcterms:created xsi:type="dcterms:W3CDTF">2015-06-05T18:17:20Z</dcterms:created>
  <dcterms:modified xsi:type="dcterms:W3CDTF">2025-09-04T10:10:59Z</dcterms:modified>
</cp:coreProperties>
</file>