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6237f9b02a2a353/Masaüstü/DOSYALARIM/Hisse ve Şirket değerleme/2025Eylül/"/>
    </mc:Choice>
  </mc:AlternateContent>
  <xr:revisionPtr revIDLastSave="655" documentId="8_{0D4E4621-4E85-480B-AE40-5068F53B0B1C}" xr6:coauthVersionLast="47" xr6:coauthVersionMax="47" xr10:uidLastSave="{8F8DBBAD-1272-462B-B194-E374756F7894}"/>
  <bookViews>
    <workbookView xWindow="-110" yWindow="-110" windowWidth="19420" windowHeight="10300" xr2:uid="{00000000-000D-0000-FFFF-FFFF00000000}"/>
  </bookViews>
  <sheets>
    <sheet name="DCF" sheetId="1" r:id="rId1"/>
    <sheet name="ASSUMPTIONS" sheetId="7" r:id="rId2"/>
    <sheet name="WACC" sheetId="2" r:id="rId3"/>
    <sheet name="SCHEDULES" sheetId="6" r:id="rId4"/>
    <sheet name="CCA" sheetId="3" r:id="rId5"/>
    <sheet name="ABOUT" sheetId="4" r:id="rId6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F9" i="3" l="1"/>
  <c r="F51" i="1" l="1"/>
  <c r="E51" i="1"/>
  <c r="D51" i="1"/>
  <c r="F14" i="3"/>
  <c r="H14" i="3" s="1"/>
  <c r="F13" i="3"/>
  <c r="H13" i="3" s="1"/>
  <c r="F12" i="3"/>
  <c r="H12" i="3" s="1"/>
  <c r="F11" i="3"/>
  <c r="H11" i="3" s="1"/>
  <c r="H10" i="3"/>
  <c r="H9" i="3"/>
  <c r="G19" i="2"/>
  <c r="J7" i="6"/>
  <c r="I7" i="6"/>
  <c r="H7" i="6"/>
  <c r="J6" i="6"/>
  <c r="I6" i="6"/>
  <c r="H6" i="6"/>
  <c r="H11" i="6" s="1"/>
  <c r="H10" i="1"/>
  <c r="G10" i="1"/>
  <c r="F10" i="1"/>
  <c r="E10" i="1"/>
  <c r="D10" i="1"/>
  <c r="H12" i="1"/>
  <c r="H15" i="1" s="1"/>
  <c r="G12" i="1"/>
  <c r="G15" i="1" s="1"/>
  <c r="F12" i="1"/>
  <c r="F15" i="1" s="1"/>
  <c r="E12" i="1"/>
  <c r="E15" i="1" s="1"/>
  <c r="D12" i="1"/>
  <c r="D15" i="1" s="1"/>
  <c r="H7" i="1"/>
  <c r="G7" i="1"/>
  <c r="F7" i="1"/>
  <c r="E7" i="1"/>
  <c r="D15" i="7"/>
  <c r="D14" i="7"/>
  <c r="I30" i="1" s="1"/>
  <c r="D12" i="7"/>
  <c r="J11" i="1" s="1"/>
  <c r="D7" i="7"/>
  <c r="D10" i="7"/>
  <c r="J6" i="1" s="1"/>
  <c r="K6" i="6" s="1"/>
  <c r="K11" i="1" l="1"/>
  <c r="L11" i="1" l="1"/>
  <c r="M11" i="1" l="1"/>
  <c r="N11" i="1" l="1"/>
  <c r="O11" i="1" l="1"/>
  <c r="P31" i="3" l="1"/>
  <c r="N31" i="3"/>
  <c r="N29" i="3"/>
  <c r="P14" i="3"/>
  <c r="N14" i="3"/>
  <c r="P13" i="3"/>
  <c r="P12" i="3"/>
  <c r="P11" i="3"/>
  <c r="P10" i="3"/>
  <c r="O18" i="3"/>
  <c r="P9" i="3"/>
  <c r="N13" i="3"/>
  <c r="N12" i="3"/>
  <c r="N11" i="3"/>
  <c r="N10" i="3"/>
  <c r="N9" i="3"/>
  <c r="P17" i="3" l="1"/>
  <c r="N21" i="3"/>
  <c r="N17" i="3"/>
  <c r="N18" i="3"/>
  <c r="N23" i="3" s="1"/>
  <c r="N19" i="3"/>
  <c r="N20" i="3"/>
  <c r="O19" i="3"/>
  <c r="P19" i="3"/>
  <c r="P18" i="3"/>
  <c r="P16" i="3"/>
  <c r="N16" i="3"/>
  <c r="O16" i="3"/>
  <c r="O21" i="3"/>
  <c r="P21" i="3"/>
  <c r="O20" i="3"/>
  <c r="O17" i="3"/>
  <c r="P20" i="3"/>
  <c r="P23" i="3"/>
  <c r="P30" i="3" s="1"/>
  <c r="P32" i="3" s="1"/>
  <c r="O23" i="3"/>
  <c r="N28" i="3" l="1"/>
  <c r="N30" i="3" s="1"/>
  <c r="N32" i="3" s="1"/>
  <c r="P34" i="3" s="1"/>
  <c r="H13" i="1"/>
  <c r="G13" i="1"/>
  <c r="E13" i="1"/>
  <c r="F13" i="1"/>
  <c r="I31" i="1"/>
  <c r="K6" i="1" l="1"/>
  <c r="I13" i="1"/>
  <c r="I10" i="1"/>
  <c r="D9" i="7" s="1"/>
  <c r="J11" i="6"/>
  <c r="I11" i="6"/>
  <c r="J26" i="6"/>
  <c r="I27" i="6"/>
  <c r="I26" i="6"/>
  <c r="J25" i="6"/>
  <c r="I25" i="6"/>
  <c r="G8" i="2"/>
  <c r="J9" i="1" l="1"/>
  <c r="L6" i="1"/>
  <c r="K9" i="1"/>
  <c r="K11" i="6"/>
  <c r="O11" i="6" s="1"/>
  <c r="H13" i="6"/>
  <c r="H12" i="6"/>
  <c r="I13" i="6"/>
  <c r="I12" i="6"/>
  <c r="J12" i="6"/>
  <c r="J13" i="6"/>
  <c r="I28" i="6"/>
  <c r="G21" i="1" s="1"/>
  <c r="J27" i="6"/>
  <c r="J28" i="6" s="1"/>
  <c r="H21" i="1" s="1"/>
  <c r="K12" i="1" l="1"/>
  <c r="L7" i="6"/>
  <c r="J12" i="1"/>
  <c r="K7" i="6"/>
  <c r="N11" i="6"/>
  <c r="L11" i="6"/>
  <c r="M6" i="1"/>
  <c r="L9" i="1"/>
  <c r="M11" i="6"/>
  <c r="K12" i="6"/>
  <c r="O12" i="6" s="1"/>
  <c r="K13" i="6"/>
  <c r="K19" i="6" l="1"/>
  <c r="L12" i="1"/>
  <c r="M7" i="6"/>
  <c r="K18" i="6"/>
  <c r="M12" i="6"/>
  <c r="N12" i="6"/>
  <c r="L12" i="6"/>
  <c r="M13" i="6"/>
  <c r="O13" i="6"/>
  <c r="L13" i="6"/>
  <c r="N13" i="6"/>
  <c r="N6" i="1"/>
  <c r="M9" i="1"/>
  <c r="I7" i="1"/>
  <c r="D8" i="7" s="1"/>
  <c r="E17" i="1"/>
  <c r="F17" i="1"/>
  <c r="G17" i="1"/>
  <c r="H17" i="1"/>
  <c r="M12" i="1" l="1"/>
  <c r="N7" i="6"/>
  <c r="O6" i="1"/>
  <c r="O9" i="1" s="1"/>
  <c r="O12" i="1" s="1"/>
  <c r="N9" i="1"/>
  <c r="D17" i="1"/>
  <c r="D13" i="7" s="1"/>
  <c r="G15" i="2" s="1"/>
  <c r="G13" i="2" s="1"/>
  <c r="J19" i="1"/>
  <c r="K17" i="6"/>
  <c r="N12" i="1" l="1"/>
  <c r="O7" i="6"/>
  <c r="D11" i="7"/>
  <c r="K19" i="1"/>
  <c r="L19" i="1" s="1"/>
  <c r="M19" i="1" s="1"/>
  <c r="N19" i="1" s="1"/>
  <c r="O19" i="1" s="1"/>
  <c r="J20" i="1"/>
  <c r="K20" i="1" s="1"/>
  <c r="L20" i="1" s="1"/>
  <c r="M20" i="1" s="1"/>
  <c r="N20" i="1" s="1"/>
  <c r="O20" i="1" s="1"/>
  <c r="L6" i="6"/>
  <c r="L17" i="6" s="1"/>
  <c r="J15" i="1" l="1"/>
  <c r="K15" i="1"/>
  <c r="L15" i="1"/>
  <c r="M15" i="1"/>
  <c r="M6" i="6"/>
  <c r="M17" i="6" s="1"/>
  <c r="M16" i="1" l="1"/>
  <c r="L16" i="1"/>
  <c r="K16" i="1"/>
  <c r="J16" i="1"/>
  <c r="L19" i="6"/>
  <c r="L27" i="6" s="1"/>
  <c r="L18" i="6"/>
  <c r="O15" i="1"/>
  <c r="N6" i="6"/>
  <c r="N17" i="6" s="1"/>
  <c r="K27" i="6"/>
  <c r="K26" i="6"/>
  <c r="O16" i="1" l="1"/>
  <c r="L26" i="6"/>
  <c r="M18" i="6"/>
  <c r="M19" i="6"/>
  <c r="M27" i="6" s="1"/>
  <c r="O6" i="6"/>
  <c r="O17" i="6" s="1"/>
  <c r="N15" i="1"/>
  <c r="K25" i="6"/>
  <c r="K28" i="6" s="1"/>
  <c r="N16" i="1" l="1"/>
  <c r="M26" i="6"/>
  <c r="N18" i="6"/>
  <c r="N19" i="6"/>
  <c r="J21" i="1"/>
  <c r="J25" i="1" s="1"/>
  <c r="O25" i="6"/>
  <c r="N25" i="6"/>
  <c r="M25" i="6"/>
  <c r="L25" i="6"/>
  <c r="L28" i="6" s="1"/>
  <c r="M28" i="6" l="1"/>
  <c r="L21" i="1" s="1"/>
  <c r="L25" i="1" s="1"/>
  <c r="N27" i="6"/>
  <c r="N26" i="6"/>
  <c r="O18" i="6"/>
  <c r="O26" i="6" s="1"/>
  <c r="O19" i="6"/>
  <c r="O27" i="6" s="1"/>
  <c r="K21" i="1"/>
  <c r="K25" i="1" s="1"/>
  <c r="N28" i="6" l="1"/>
  <c r="M21" i="1" s="1"/>
  <c r="M25" i="1" s="1"/>
  <c r="O28" i="6"/>
  <c r="P28" i="6" s="1"/>
  <c r="O21" i="1" s="1"/>
  <c r="O25" i="1" s="1"/>
  <c r="N21" i="1" l="1"/>
  <c r="N25" i="1" s="1"/>
  <c r="M30" i="1"/>
  <c r="G17" i="2" l="1"/>
  <c r="I32" i="1" s="1"/>
  <c r="M31" i="1" l="1"/>
  <c r="M33" i="1" s="1"/>
  <c r="N26" i="1" l="1"/>
  <c r="D25" i="1" s="1"/>
  <c r="D28" i="1" s="1"/>
  <c r="D30" i="1" s="1"/>
  <c r="D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furkan panayir</author>
  </authors>
  <commentList>
    <comment ref="C9" authorId="0" shapeId="0" xr:uid="{6D3BB1F4-0415-415E-9600-9F4901711291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Estimated COGS not calculated from percentages of the revenues</t>
        </r>
      </text>
    </comment>
    <comment ref="C11" authorId="0" shapeId="0" xr:uid="{FB46F69F-8FE9-48E1-8D65-8F1EF7870F42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D&amp;A INCLUDED
</t>
        </r>
      </text>
    </comment>
    <comment ref="C27" authorId="0" shapeId="0" xr:uid="{D7D3677F-1964-4135-9304-B8F9D43EFD46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Only interest Bearing Debt
</t>
        </r>
      </text>
    </comment>
    <comment ref="C28" authorId="0" shapeId="0" xr:uid="{BBD695B8-DF44-4BB1-9A51-1760F7CBFE6F}">
      <text>
        <r>
          <rPr>
            <b/>
            <sz val="9"/>
            <color indexed="81"/>
            <rFont val="Tahoma"/>
            <family val="2"/>
            <charset val="162"/>
          </rPr>
          <t>furkan panayir:
I did not add non-operational assets while calculating equity value.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furkan panayir</author>
  </authors>
  <commentList>
    <comment ref="F8" authorId="0" shapeId="0" xr:uid="{11423B6A-8286-4849-A724-84CBEAD2CCB7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Market Value of Equity</t>
        </r>
      </text>
    </comment>
    <comment ref="F13" authorId="0" shapeId="0" xr:uid="{E1EA1BFD-B609-4494-BED2-6A9B985971E6}">
      <text>
        <r>
          <rPr>
            <b/>
            <sz val="9"/>
            <color indexed="81"/>
            <rFont val="Tahoma"/>
            <family val="2"/>
            <charset val="162"/>
          </rPr>
          <t>furkan panayir:</t>
        </r>
        <r>
          <rPr>
            <sz val="9"/>
            <color indexed="81"/>
            <rFont val="Tahoma"/>
            <family val="2"/>
            <charset val="162"/>
          </rPr>
          <t xml:space="preserve">
Book Value of Debt</t>
        </r>
      </text>
    </comment>
  </commentList>
</comments>
</file>

<file path=xl/sharedStrings.xml><?xml version="1.0" encoding="utf-8"?>
<sst xmlns="http://schemas.openxmlformats.org/spreadsheetml/2006/main" count="158" uniqueCount="136">
  <si>
    <t>REVENUE</t>
  </si>
  <si>
    <t xml:space="preserve">Average </t>
  </si>
  <si>
    <t>COGS</t>
  </si>
  <si>
    <t>INCOME TAX</t>
  </si>
  <si>
    <t>TAX RATE</t>
  </si>
  <si>
    <t>DEPRECİATİON&amp;AMORTİZATİON</t>
  </si>
  <si>
    <t>(NET CAPİTAL EXPENDİTURE)</t>
  </si>
  <si>
    <t>FCF</t>
  </si>
  <si>
    <t>EV/EBİTDA multiple</t>
  </si>
  <si>
    <t>CASH AND CASH EQUİVALENTS</t>
  </si>
  <si>
    <t>(DEBT)</t>
  </si>
  <si>
    <t>EQUİTY VALUE</t>
  </si>
  <si>
    <t>SHARES OUTSTANDING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</si>
  <si>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</si>
  <si>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</si>
  <si>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</si>
  <si>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</si>
  <si>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</si>
  <si>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</si>
  <si>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</si>
  <si>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</si>
  <si>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</si>
  <si>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MARKET PRICE 8TH OF FEBRUARY</t>
  </si>
  <si>
    <t>Growth Forecast</t>
  </si>
  <si>
    <t>EBITDA</t>
  </si>
  <si>
    <t>EV/EBITDA</t>
  </si>
  <si>
    <t>P/E</t>
  </si>
  <si>
    <t>CHANGE IN WORKING CAPITAL</t>
  </si>
  <si>
    <t>REVENUE INCREASE</t>
  </si>
  <si>
    <t>Days in Period</t>
  </si>
  <si>
    <t>Revenue</t>
  </si>
  <si>
    <t>AMOUNTS PER DAY</t>
  </si>
  <si>
    <t>Accounts Receivable</t>
  </si>
  <si>
    <t>(Days)</t>
  </si>
  <si>
    <t>Inventory</t>
  </si>
  <si>
    <t>Accounts Payable</t>
  </si>
  <si>
    <t>TOTAL AMOUNTS</t>
  </si>
  <si>
    <t>CASH CHANGES</t>
  </si>
  <si>
    <t>Cash from Working Capital Items</t>
  </si>
  <si>
    <t>2026 F</t>
  </si>
  <si>
    <t>2027 F</t>
  </si>
  <si>
    <t>2022 A</t>
  </si>
  <si>
    <t>2023 A</t>
  </si>
  <si>
    <t>MULTIPLE METHOD</t>
  </si>
  <si>
    <t>PERPETUITY METHOD</t>
  </si>
  <si>
    <t xml:space="preserve">TERMINAL GROWTH </t>
  </si>
  <si>
    <t>WEIGHTED TERMINAL VALUE</t>
  </si>
  <si>
    <t>EFFECTIVE TAX RATE FROM EBITDA</t>
  </si>
  <si>
    <t>EBIT (OPERATING INCOME)</t>
  </si>
  <si>
    <t xml:space="preserve">OPERATING EXPENSES </t>
  </si>
  <si>
    <t>WORKING CAPITAL SCHEDULE</t>
  </si>
  <si>
    <t>TERMINAL</t>
  </si>
  <si>
    <t>WEIGHTED AVERAGE COST OF CAPITAL</t>
  </si>
  <si>
    <t>2020A</t>
  </si>
  <si>
    <t>2022A</t>
  </si>
  <si>
    <t>2023A</t>
  </si>
  <si>
    <t>2024A</t>
  </si>
  <si>
    <t>ASSUMPTIONS</t>
  </si>
  <si>
    <t>HISTORICAL REVENUE INCREASE</t>
  </si>
  <si>
    <t>Revenue Increase Assumption</t>
  </si>
  <si>
    <t>Effective Tax Rate from Ebitda</t>
  </si>
  <si>
    <t>EV/EBITDA Multiple Assumption</t>
  </si>
  <si>
    <t>Terminal Growth Rate Assumption</t>
  </si>
  <si>
    <t>2021A</t>
  </si>
  <si>
    <t>TOTAL EXPENSES</t>
  </si>
  <si>
    <t>2024 A</t>
  </si>
  <si>
    <t>2028F</t>
  </si>
  <si>
    <t>2029 F</t>
  </si>
  <si>
    <t>FCFF=EBIT*(1-TAX RATE)+DEPRECİATİON&amp;AMORTİZATİON-NET CAPEX- NET CHANGE IN WORKING CAPITAL</t>
  </si>
  <si>
    <t>Harmonic Mean</t>
  </si>
  <si>
    <t>NPV OF FCFF (ENTERPRİSE VALUE)</t>
  </si>
  <si>
    <t>INCREASE IN OPERATING EXPENSES</t>
  </si>
  <si>
    <t>COGS PERCENTAGE OF REVENUES</t>
  </si>
  <si>
    <t>HISTORICAL INCREASE OF OP. EXPENSES</t>
  </si>
  <si>
    <t>Operating Expense Increase Assumption</t>
  </si>
  <si>
    <t>Low</t>
  </si>
  <si>
    <t>High</t>
  </si>
  <si>
    <t>Comparable Companies</t>
  </si>
  <si>
    <t>DCF</t>
  </si>
  <si>
    <t>Base</t>
  </si>
  <si>
    <t>BEST CASE</t>
  </si>
  <si>
    <t>BASE CASE</t>
  </si>
  <si>
    <t>WORST CASE</t>
  </si>
  <si>
    <t>Worst</t>
  </si>
  <si>
    <t>Best</t>
  </si>
  <si>
    <t>Implied Value Per Share</t>
  </si>
  <si>
    <t>Shares Outstanding</t>
  </si>
  <si>
    <t>Implied Market Value</t>
  </si>
  <si>
    <t>Net Debt</t>
  </si>
  <si>
    <t>Implied Enterprise Value</t>
  </si>
  <si>
    <t>EV/Revenue</t>
  </si>
  <si>
    <t>25th Percentile</t>
  </si>
  <si>
    <t>Median</t>
  </si>
  <si>
    <t>75th Percentile</t>
  </si>
  <si>
    <t>Net Income</t>
  </si>
  <si>
    <t>Enterprise 
Value</t>
  </si>
  <si>
    <t>Equity Value</t>
  </si>
  <si>
    <t>Share 
Price</t>
  </si>
  <si>
    <t>Ticker</t>
  </si>
  <si>
    <t>Company</t>
  </si>
  <si>
    <t>Valuation</t>
  </si>
  <si>
    <t>Financials</t>
  </si>
  <si>
    <t>Market Data</t>
  </si>
  <si>
    <t>Comparable Companies Analysis</t>
  </si>
  <si>
    <t xml:space="preserve"> Valuation</t>
  </si>
  <si>
    <r>
      <t xml:space="preserve">Template Source:  Kenji Explains (Youtube) </t>
    </r>
    <r>
      <rPr>
        <i/>
        <sz val="11"/>
        <color theme="1"/>
        <rFont val="Calibri"/>
        <family val="2"/>
        <scheme val="minor"/>
      </rPr>
      <t>Comparable Companies Valuation, with my own contributions</t>
    </r>
  </si>
  <si>
    <t>BEST (75th Percentile)</t>
  </si>
  <si>
    <t>BASE (Harmonic Mean)</t>
  </si>
  <si>
    <t>WORST (25th Percentile)</t>
  </si>
  <si>
    <t>SCENERIO</t>
  </si>
  <si>
    <t>Average Share Value</t>
  </si>
  <si>
    <t>WORST SCENERIO</t>
  </si>
  <si>
    <t>BASE SCENERIO</t>
  </si>
  <si>
    <t>BEST SCENERIO</t>
  </si>
  <si>
    <t>Case</t>
  </si>
  <si>
    <t>VALUATION CHART</t>
  </si>
  <si>
    <t>2026F</t>
  </si>
  <si>
    <t>2027F</t>
  </si>
  <si>
    <t>2029F</t>
  </si>
  <si>
    <t>2025A&amp;F</t>
  </si>
  <si>
    <t>2025 A&amp;F</t>
  </si>
  <si>
    <t>FAIR VALUE OF EQUITY</t>
  </si>
  <si>
    <t>HISTORICAL RESULTS</t>
  </si>
  <si>
    <t>FORECAST PERIOD</t>
  </si>
  <si>
    <t>Mercury General</t>
  </si>
  <si>
    <t>Selective Insurance Group</t>
  </si>
  <si>
    <t>Progressive Corporation</t>
  </si>
  <si>
    <t>Kemper Corporation</t>
  </si>
  <si>
    <t>The Travelers Corporation</t>
  </si>
  <si>
    <t>Cincinatti Financial Corporation</t>
  </si>
  <si>
    <t>CINF</t>
  </si>
  <si>
    <t>TRV</t>
  </si>
  <si>
    <t>KMPR</t>
  </si>
  <si>
    <t>PGR</t>
  </si>
  <si>
    <t>SIGI</t>
  </si>
  <si>
    <t>MCY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</si>
</sst>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[$$-409]* #,##0.00_ ;_-[$$-409]* \-#,##0.00\ ;_-[$$-409]* &quot;-&quot;??_ ;_-@_ "/>
    <numFmt numFmtId="165" formatCode="0.0%"/>
    <numFmt numFmtId="166" formatCode="0&quot;A&quot;"/>
    <numFmt numFmtId="167" formatCode="_(#,##0_)_%;\(#,##0\)_%;_(&quot;–&quot;_)_%;_(@_)_%"/>
    <numFmt numFmtId="168" formatCode="_(#,##0_);\(#,##0\);_(&quot;–&quot;_);_(@_)"/>
    <numFmt numFmtId="169" formatCode="#,##0_);\(#,##0\);\-"/>
    <numFmt numFmtId="170" formatCode="0.0"/>
    <numFmt numFmtId="171" formatCode="_-[$$-409]* #,##0.0_ ;_-[$$-409]* \-#,##0.0\ ;_-[$$-409]* &quot;-&quot;??_ ;_-@_ "/>
    <numFmt numFmtId="172" formatCode="_-[$$-409]* #,##0_ ;_-[$$-409]* \-#,##0\ ;_-[$$-409]* &quot;-&quot;??_ ;_-@_ "/>
    <numFmt numFmtId="173" formatCode="_-* #,##0.00_-;\-* #,##0.00_-;_-* &quot;-&quot;??_-;_-@"/>
    <numFmt numFmtId="174" formatCode="_-* #,##0_-;\-* #,##0_-;_-* &quot;-&quot;??_-;_-@"/>
    <numFmt numFmtId="175" formatCode="_-* #,##0.00\ _€_-;\-* #,##0.00\ _€_-;_-* &quot;-&quot;??\ _€_-;_-@"/>
    <numFmt numFmtId="176" formatCode="#,##0.0\x"/>
    <numFmt numFmtId="177" formatCode="_-[$$-409]* #,##0.0_ ;_-[$$-409]* \-#,##0.0\ ;_-[$$-409]* &quot;-&quot;?_ ;_-@_ 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i/>
      <sz val="9"/>
      <name val="Open Sans"/>
      <family val="2"/>
    </font>
    <font>
      <b/>
      <sz val="10"/>
      <name val="Open Sans"/>
      <family val="2"/>
    </font>
    <font>
      <sz val="14"/>
      <color theme="1"/>
      <name val="Open Sans"/>
      <family val="2"/>
    </font>
    <font>
      <sz val="10"/>
      <color rgb="FF000000"/>
      <name val="Open Sans"/>
      <family val="2"/>
    </font>
    <font>
      <i/>
      <sz val="8"/>
      <name val="Open Sans"/>
      <family val="2"/>
    </font>
    <font>
      <sz val="10"/>
      <name val="Open Sans"/>
      <family val="2"/>
    </font>
    <font>
      <sz val="11"/>
      <name val="Open Sans"/>
      <family val="2"/>
    </font>
    <font>
      <b/>
      <sz val="10"/>
      <color rgb="FF000000"/>
      <name val="Open Sans"/>
      <family val="2"/>
    </font>
    <font>
      <sz val="10"/>
      <color rgb="FF0000FF"/>
      <name val="Open Sans"/>
      <family val="2"/>
    </font>
    <font>
      <sz val="10"/>
      <color theme="4" tint="-0.249977111117893"/>
      <name val="Open Sans"/>
      <family val="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4" tint="-0.249977111117893"/>
      <name val="Calibri"/>
      <family val="2"/>
      <charset val="162"/>
      <scheme val="minor"/>
    </font>
    <font>
      <i/>
      <sz val="13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3"/>
      <color rgb="FF007BB8"/>
      <name val="Calibri"/>
      <family val="2"/>
      <scheme val="minor"/>
    </font>
    <font>
      <b/>
      <i/>
      <sz val="32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007BB8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i/>
      <sz val="14"/>
      <color theme="1"/>
      <name val="Calibri"/>
      <family val="2"/>
      <charset val="16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162"/>
    </font>
    <font>
      <b/>
      <sz val="12"/>
      <color rgb="FF0432FF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color rgb="FF0432FF"/>
      <name val="Calibri"/>
      <family val="2"/>
      <charset val="162"/>
    </font>
    <font>
      <b/>
      <sz val="12"/>
      <color theme="0"/>
      <name val="Calibri"/>
      <family val="2"/>
      <charset val="162"/>
    </font>
    <font>
      <sz val="12"/>
      <name val="Calibri"/>
      <family val="2"/>
      <charset val="162"/>
    </font>
    <font>
      <b/>
      <sz val="12"/>
      <name val="Calibri"/>
      <family val="2"/>
      <charset val="162"/>
    </font>
    <font>
      <sz val="12"/>
      <color theme="4" tint="-0.249977111117893"/>
      <name val="Calibri"/>
      <family val="2"/>
      <charset val="162"/>
    </font>
    <font>
      <b/>
      <sz val="18"/>
      <name val="Calibri"/>
      <family val="2"/>
      <charset val="16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0"/>
      <color theme="1"/>
      <name val="Open Sans"/>
      <family val="2"/>
    </font>
    <font>
      <sz val="14"/>
      <color theme="4"/>
      <name val="Calibri"/>
      <family val="2"/>
      <scheme val="minor"/>
    </font>
    <font>
      <sz val="14"/>
      <color theme="4" tint="-0.249977111117893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293D68"/>
      </patternFill>
    </fill>
    <fill>
      <patternFill patternType="solid">
        <fgColor theme="9" tint="0.59999389629810485"/>
        <bgColor rgb="FFD9E2F3"/>
      </patternFill>
    </fill>
  </fills>
  <borders count="40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medium">
        <color indexed="64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/>
      </right>
      <top/>
      <bottom style="medium">
        <color indexed="64"/>
      </bottom>
      <diagonal/>
    </border>
    <border>
      <left style="thin">
        <color theme="2"/>
      </left>
      <right style="thin">
        <color theme="2"/>
      </right>
      <top/>
      <bottom style="medium">
        <color indexed="64"/>
      </bottom>
      <diagonal/>
    </border>
    <border>
      <left style="thin">
        <color theme="2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theme="2"/>
      </right>
      <top/>
      <bottom/>
      <diagonal/>
    </border>
    <border>
      <left style="thin">
        <color theme="2"/>
      </left>
      <right style="medium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2" fillId="0" borderId="0" xfId="0" applyFont="1"/>
    <xf numFmtId="10" fontId="0" fillId="0" borderId="0" xfId="0" applyNumberFormat="1"/>
    <xf numFmtId="0" fontId="0" fillId="0" borderId="0" xfId="1" applyNumberFormat="1" applyFont="1"/>
    <xf numFmtId="0" fontId="2" fillId="0" borderId="0" xfId="0" applyFont="1" applyAlignment="1">
      <alignment wrapText="1"/>
    </xf>
    <xf numFmtId="0" fontId="19" fillId="0" borderId="0" xfId="0" applyFont="1"/>
    <xf numFmtId="0" fontId="2" fillId="0" borderId="5" xfId="0" applyFont="1" applyBorder="1"/>
    <xf numFmtId="0" fontId="0" fillId="0" borderId="5" xfId="0" applyBorder="1"/>
    <xf numFmtId="2" fontId="3" fillId="0" borderId="6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10" fontId="3" fillId="0" borderId="10" xfId="1" applyNumberFormat="1" applyFont="1" applyBorder="1" applyAlignment="1">
      <alignment horizontal="center"/>
    </xf>
    <xf numFmtId="0" fontId="2" fillId="0" borderId="11" xfId="0" applyFont="1" applyBorder="1"/>
    <xf numFmtId="0" fontId="19" fillId="0" borderId="5" xfId="0" applyFont="1" applyBorder="1"/>
    <xf numFmtId="0" fontId="0" fillId="0" borderId="15" xfId="0" applyBorder="1"/>
    <xf numFmtId="0" fontId="0" fillId="0" borderId="13" xfId="0" applyBorder="1"/>
    <xf numFmtId="37" fontId="4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right"/>
    </xf>
    <xf numFmtId="37" fontId="8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64" fontId="9" fillId="0" borderId="0" xfId="0" applyNumberFormat="1" applyFont="1"/>
    <xf numFmtId="167" fontId="6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indent="1"/>
    </xf>
    <xf numFmtId="0" fontId="12" fillId="0" borderId="5" xfId="0" applyFont="1" applyBorder="1"/>
    <xf numFmtId="0" fontId="7" fillId="0" borderId="0" xfId="0" applyFont="1"/>
    <xf numFmtId="169" fontId="11" fillId="0" borderId="0" xfId="0" applyNumberFormat="1" applyFont="1"/>
    <xf numFmtId="0" fontId="13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indent="1"/>
    </xf>
    <xf numFmtId="168" fontId="11" fillId="0" borderId="0" xfId="0" applyNumberFormat="1" applyFont="1"/>
    <xf numFmtId="0" fontId="6" fillId="0" borderId="0" xfId="0" applyFont="1" applyAlignment="1">
      <alignment horizontal="center"/>
    </xf>
    <xf numFmtId="40" fontId="11" fillId="0" borderId="0" xfId="0" applyNumberFormat="1" applyFont="1"/>
    <xf numFmtId="38" fontId="11" fillId="0" borderId="0" xfId="0" applyNumberFormat="1" applyFont="1"/>
    <xf numFmtId="169" fontId="14" fillId="0" borderId="0" xfId="0" applyNumberFormat="1" applyFont="1"/>
    <xf numFmtId="164" fontId="15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11" fillId="0" borderId="0" xfId="0" applyNumberFormat="1" applyFont="1"/>
    <xf numFmtId="168" fontId="9" fillId="0" borderId="0" xfId="0" applyNumberFormat="1" applyFont="1"/>
    <xf numFmtId="0" fontId="11" fillId="0" borderId="7" xfId="0" applyFont="1" applyBorder="1" applyAlignment="1">
      <alignment horizontal="left" indent="1"/>
    </xf>
    <xf numFmtId="0" fontId="7" fillId="0" borderId="15" xfId="0" applyFont="1" applyBorder="1"/>
    <xf numFmtId="168" fontId="15" fillId="0" borderId="1" xfId="0" applyNumberFormat="1" applyFont="1" applyBorder="1"/>
    <xf numFmtId="164" fontId="9" fillId="0" borderId="16" xfId="0" applyNumberFormat="1" applyFont="1" applyBorder="1"/>
    <xf numFmtId="164" fontId="9" fillId="0" borderId="15" xfId="0" applyNumberFormat="1" applyFont="1" applyBorder="1" applyAlignment="1">
      <alignment horizontal="right" vertical="center"/>
    </xf>
    <xf numFmtId="0" fontId="21" fillId="0" borderId="5" xfId="0" applyFont="1" applyBorder="1"/>
    <xf numFmtId="0" fontId="21" fillId="0" borderId="7" xfId="0" applyFont="1" applyBorder="1"/>
    <xf numFmtId="0" fontId="18" fillId="3" borderId="17" xfId="0" applyFont="1" applyFill="1" applyBorder="1" applyAlignment="1">
      <alignment horizontal="centerContinuous"/>
    </xf>
    <xf numFmtId="0" fontId="2" fillId="3" borderId="3" xfId="0" applyFont="1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20" fillId="3" borderId="13" xfId="0" applyFont="1" applyFill="1" applyBorder="1"/>
    <xf numFmtId="0" fontId="20" fillId="3" borderId="4" xfId="0" applyFont="1" applyFill="1" applyBorder="1"/>
    <xf numFmtId="0" fontId="24" fillId="3" borderId="17" xfId="0" applyFont="1" applyFill="1" applyBorder="1" applyAlignment="1">
      <alignment horizontal="centerContinuous"/>
    </xf>
    <xf numFmtId="0" fontId="0" fillId="3" borderId="19" xfId="0" applyFill="1" applyBorder="1" applyAlignment="1">
      <alignment horizontal="centerContinuous"/>
    </xf>
    <xf numFmtId="0" fontId="0" fillId="3" borderId="18" xfId="0" applyFill="1" applyBorder="1" applyAlignment="1">
      <alignment horizontal="centerContinuous"/>
    </xf>
    <xf numFmtId="10" fontId="0" fillId="0" borderId="6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9" fontId="3" fillId="0" borderId="6" xfId="1" applyFont="1" applyBorder="1" applyAlignment="1">
      <alignment horizontal="center"/>
    </xf>
    <xf numFmtId="9" fontId="3" fillId="0" borderId="10" xfId="1" applyFont="1" applyBorder="1" applyAlignment="1">
      <alignment horizontal="center"/>
    </xf>
    <xf numFmtId="9" fontId="3" fillId="0" borderId="8" xfId="1" applyFont="1" applyBorder="1" applyAlignment="1">
      <alignment horizontal="center"/>
    </xf>
    <xf numFmtId="0" fontId="25" fillId="0" borderId="0" xfId="0" applyFont="1"/>
    <xf numFmtId="0" fontId="25" fillId="0" borderId="3" xfId="0" applyFont="1" applyBorder="1"/>
    <xf numFmtId="0" fontId="25" fillId="3" borderId="13" xfId="0" applyFont="1" applyFill="1" applyBorder="1" applyAlignment="1">
      <alignment horizontal="centerContinuous"/>
    </xf>
    <xf numFmtId="0" fontId="25" fillId="0" borderId="13" xfId="0" applyFont="1" applyBorder="1"/>
    <xf numFmtId="0" fontId="26" fillId="3" borderId="13" xfId="0" applyFont="1" applyFill="1" applyBorder="1" applyAlignment="1">
      <alignment horizontal="centerContinuous"/>
    </xf>
    <xf numFmtId="0" fontId="25" fillId="3" borderId="4" xfId="0" applyFont="1" applyFill="1" applyBorder="1"/>
    <xf numFmtId="0" fontId="25" fillId="2" borderId="14" xfId="0" applyFont="1" applyFill="1" applyBorder="1" applyAlignment="1">
      <alignment wrapText="1"/>
    </xf>
    <xf numFmtId="0" fontId="26" fillId="0" borderId="0" xfId="0" applyFont="1" applyAlignment="1">
      <alignment horizontal="center" wrapText="1"/>
    </xf>
    <xf numFmtId="0" fontId="26" fillId="0" borderId="6" xfId="0" applyFont="1" applyBorder="1" applyAlignment="1">
      <alignment horizontal="center"/>
    </xf>
    <xf numFmtId="0" fontId="26" fillId="0" borderId="5" xfId="0" applyFont="1" applyBorder="1"/>
    <xf numFmtId="164" fontId="25" fillId="0" borderId="0" xfId="0" applyNumberFormat="1" applyFont="1"/>
    <xf numFmtId="164" fontId="25" fillId="0" borderId="6" xfId="0" applyNumberFormat="1" applyFont="1" applyBorder="1"/>
    <xf numFmtId="9" fontId="28" fillId="0" borderId="5" xfId="1" applyFont="1" applyBorder="1"/>
    <xf numFmtId="9" fontId="25" fillId="0" borderId="0" xfId="1" applyFont="1" applyBorder="1"/>
    <xf numFmtId="9" fontId="26" fillId="0" borderId="0" xfId="1" applyFont="1" applyBorder="1"/>
    <xf numFmtId="0" fontId="25" fillId="0" borderId="6" xfId="0" applyFont="1" applyBorder="1"/>
    <xf numFmtId="0" fontId="25" fillId="0" borderId="5" xfId="0" applyFont="1" applyBorder="1"/>
    <xf numFmtId="0" fontId="28" fillId="0" borderId="5" xfId="0" applyFont="1" applyBorder="1"/>
    <xf numFmtId="0" fontId="28" fillId="0" borderId="7" xfId="0" applyFont="1" applyBorder="1"/>
    <xf numFmtId="0" fontId="25" fillId="0" borderId="15" xfId="0" applyFont="1" applyBorder="1"/>
    <xf numFmtId="0" fontId="26" fillId="0" borderId="3" xfId="0" applyFont="1" applyBorder="1"/>
    <xf numFmtId="0" fontId="25" fillId="3" borderId="13" xfId="0" applyFont="1" applyFill="1" applyBorder="1"/>
    <xf numFmtId="164" fontId="25" fillId="2" borderId="6" xfId="0" applyNumberFormat="1" applyFont="1" applyFill="1" applyBorder="1"/>
    <xf numFmtId="164" fontId="25" fillId="3" borderId="6" xfId="0" applyNumberFormat="1" applyFont="1" applyFill="1" applyBorder="1"/>
    <xf numFmtId="0" fontId="25" fillId="3" borderId="6" xfId="0" applyFont="1" applyFill="1" applyBorder="1"/>
    <xf numFmtId="0" fontId="26" fillId="0" borderId="7" xfId="0" applyFont="1" applyBorder="1"/>
    <xf numFmtId="9" fontId="25" fillId="3" borderId="8" xfId="1" applyFont="1" applyFill="1" applyBorder="1"/>
    <xf numFmtId="0" fontId="25" fillId="0" borderId="7" xfId="0" applyFont="1" applyBorder="1"/>
    <xf numFmtId="0" fontId="25" fillId="0" borderId="8" xfId="0" applyFont="1" applyBorder="1"/>
    <xf numFmtId="0" fontId="26" fillId="0" borderId="0" xfId="0" applyFont="1" applyAlignment="1">
      <alignment wrapText="1"/>
    </xf>
    <xf numFmtId="164" fontId="15" fillId="0" borderId="1" xfId="0" applyNumberFormat="1" applyFont="1" applyBorder="1"/>
    <xf numFmtId="0" fontId="0" fillId="2" borderId="6" xfId="0" applyFill="1" applyBorder="1" applyAlignment="1">
      <alignment horizontal="center"/>
    </xf>
    <xf numFmtId="165" fontId="25" fillId="0" borderId="0" xfId="0" applyNumberFormat="1" applyFont="1"/>
    <xf numFmtId="9" fontId="25" fillId="2" borderId="20" xfId="1" applyFont="1" applyFill="1" applyBorder="1"/>
    <xf numFmtId="172" fontId="25" fillId="0" borderId="0" xfId="0" applyNumberFormat="1" applyFont="1"/>
    <xf numFmtId="171" fontId="25" fillId="3" borderId="4" xfId="0" applyNumberFormat="1" applyFont="1" applyFill="1" applyBorder="1"/>
    <xf numFmtId="0" fontId="25" fillId="0" borderId="5" xfId="0" applyFont="1" applyBorder="1" applyAlignment="1">
      <alignment horizontal="centerContinuous"/>
    </xf>
    <xf numFmtId="0" fontId="25" fillId="0" borderId="0" xfId="0" applyFont="1" applyAlignment="1">
      <alignment horizontal="centerContinuous"/>
    </xf>
    <xf numFmtId="171" fontId="27" fillId="0" borderId="0" xfId="0" applyNumberFormat="1" applyFont="1"/>
    <xf numFmtId="171" fontId="25" fillId="0" borderId="0" xfId="0" applyNumberFormat="1" applyFont="1"/>
    <xf numFmtId="171" fontId="25" fillId="0" borderId="6" xfId="0" applyNumberFormat="1" applyFont="1" applyBorder="1"/>
    <xf numFmtId="171" fontId="25" fillId="0" borderId="0" xfId="1" applyNumberFormat="1" applyFont="1" applyBorder="1"/>
    <xf numFmtId="171" fontId="27" fillId="0" borderId="15" xfId="0" applyNumberFormat="1" applyFont="1" applyBorder="1"/>
    <xf numFmtId="171" fontId="25" fillId="0" borderId="15" xfId="0" applyNumberFormat="1" applyFont="1" applyBorder="1"/>
    <xf numFmtId="171" fontId="30" fillId="0" borderId="15" xfId="0" applyNumberFormat="1" applyFont="1" applyBorder="1"/>
    <xf numFmtId="171" fontId="25" fillId="0" borderId="15" xfId="1" applyNumberFormat="1" applyFont="1" applyBorder="1"/>
    <xf numFmtId="171" fontId="25" fillId="0" borderId="8" xfId="0" applyNumberFormat="1" applyFont="1" applyBorder="1"/>
    <xf numFmtId="171" fontId="25" fillId="3" borderId="13" xfId="0" applyNumberFormat="1" applyFont="1" applyFill="1" applyBorder="1"/>
    <xf numFmtId="172" fontId="25" fillId="3" borderId="0" xfId="0" applyNumberFormat="1" applyFont="1" applyFill="1"/>
    <xf numFmtId="10" fontId="3" fillId="0" borderId="6" xfId="1" applyNumberFormat="1" applyFont="1" applyBorder="1" applyAlignment="1">
      <alignment horizontal="center"/>
    </xf>
    <xf numFmtId="171" fontId="27" fillId="3" borderId="6" xfId="0" applyNumberFormat="1" applyFont="1" applyFill="1" applyBorder="1"/>
    <xf numFmtId="171" fontId="25" fillId="3" borderId="6" xfId="0" applyNumberFormat="1" applyFont="1" applyFill="1" applyBorder="1"/>
    <xf numFmtId="1" fontId="27" fillId="3" borderId="6" xfId="0" applyNumberFormat="1" applyFont="1" applyFill="1" applyBorder="1" applyAlignment="1">
      <alignment horizontal="center"/>
    </xf>
    <xf numFmtId="168" fontId="11" fillId="2" borderId="20" xfId="0" applyNumberFormat="1" applyFont="1" applyFill="1" applyBorder="1"/>
    <xf numFmtId="0" fontId="5" fillId="2" borderId="20" xfId="0" applyFont="1" applyFill="1" applyBorder="1"/>
    <xf numFmtId="0" fontId="0" fillId="2" borderId="0" xfId="0" applyFill="1"/>
    <xf numFmtId="0" fontId="33" fillId="0" borderId="5" xfId="0" applyFont="1" applyBorder="1"/>
    <xf numFmtId="0" fontId="34" fillId="0" borderId="5" xfId="0" applyFont="1" applyBorder="1"/>
    <xf numFmtId="0" fontId="29" fillId="0" borderId="0" xfId="0" applyFont="1" applyAlignment="1">
      <alignment horizontal="left" vertical="top"/>
    </xf>
    <xf numFmtId="165" fontId="35" fillId="0" borderId="22" xfId="0" applyNumberFormat="1" applyFont="1" applyBorder="1" applyAlignment="1">
      <alignment vertical="center"/>
    </xf>
    <xf numFmtId="165" fontId="35" fillId="0" borderId="6" xfId="0" applyNumberFormat="1" applyFont="1" applyBorder="1" applyAlignment="1">
      <alignment vertical="center"/>
    </xf>
    <xf numFmtId="9" fontId="19" fillId="0" borderId="21" xfId="1" applyFont="1" applyBorder="1"/>
    <xf numFmtId="9" fontId="19" fillId="0" borderId="22" xfId="1" applyFont="1" applyBorder="1"/>
    <xf numFmtId="165" fontId="35" fillId="4" borderId="22" xfId="1" applyNumberFormat="1" applyFont="1" applyFill="1" applyBorder="1" applyAlignment="1"/>
    <xf numFmtId="165" fontId="35" fillId="4" borderId="22" xfId="0" applyNumberFormat="1" applyFont="1" applyFill="1" applyBorder="1"/>
    <xf numFmtId="165" fontId="35" fillId="4" borderId="6" xfId="0" applyNumberFormat="1" applyFont="1" applyFill="1" applyBorder="1"/>
    <xf numFmtId="165" fontId="35" fillId="4" borderId="22" xfId="0" applyNumberFormat="1" applyFont="1" applyFill="1" applyBorder="1" applyAlignment="1">
      <alignment vertical="center"/>
    </xf>
    <xf numFmtId="165" fontId="35" fillId="4" borderId="6" xfId="0" applyNumberFormat="1" applyFont="1" applyFill="1" applyBorder="1" applyAlignment="1">
      <alignment vertical="center"/>
    </xf>
    <xf numFmtId="2" fontId="35" fillId="4" borderId="22" xfId="0" applyNumberFormat="1" applyFont="1" applyFill="1" applyBorder="1" applyAlignment="1">
      <alignment vertical="center"/>
    </xf>
    <xf numFmtId="2" fontId="35" fillId="4" borderId="6" xfId="0" applyNumberFormat="1" applyFont="1" applyFill="1" applyBorder="1" applyAlignment="1">
      <alignment vertical="center"/>
    </xf>
    <xf numFmtId="165" fontId="35" fillId="4" borderId="23" xfId="0" applyNumberFormat="1" applyFont="1" applyFill="1" applyBorder="1" applyAlignment="1">
      <alignment vertical="center"/>
    </xf>
    <xf numFmtId="165" fontId="35" fillId="4" borderId="8" xfId="0" applyNumberFormat="1" applyFont="1" applyFill="1" applyBorder="1" applyAlignment="1">
      <alignment vertical="center"/>
    </xf>
    <xf numFmtId="10" fontId="23" fillId="4" borderId="22" xfId="1" applyNumberFormat="1" applyFont="1" applyFill="1" applyBorder="1"/>
    <xf numFmtId="170" fontId="23" fillId="4" borderId="22" xfId="1" applyNumberFormat="1" applyFont="1" applyFill="1" applyBorder="1"/>
    <xf numFmtId="165" fontId="23" fillId="4" borderId="23" xfId="1" applyNumberFormat="1" applyFont="1" applyFill="1" applyBorder="1"/>
    <xf numFmtId="0" fontId="0" fillId="3" borderId="18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165" fontId="36" fillId="2" borderId="22" xfId="0" applyNumberFormat="1" applyFont="1" applyFill="1" applyBorder="1" applyAlignment="1">
      <alignment vertical="center"/>
    </xf>
    <xf numFmtId="0" fontId="39" fillId="0" borderId="25" xfId="0" applyFont="1" applyBorder="1"/>
    <xf numFmtId="0" fontId="0" fillId="0" borderId="25" xfId="0" applyBorder="1"/>
    <xf numFmtId="0" fontId="39" fillId="0" borderId="26" xfId="0" applyFont="1" applyBorder="1"/>
    <xf numFmtId="0" fontId="0" fillId="0" borderId="27" xfId="0" applyBorder="1"/>
    <xf numFmtId="0" fontId="0" fillId="0" borderId="28" xfId="0" applyBorder="1"/>
    <xf numFmtId="0" fontId="43" fillId="5" borderId="27" xfId="0" applyFont="1" applyFill="1" applyBorder="1"/>
    <xf numFmtId="0" fontId="43" fillId="5" borderId="0" xfId="0" applyFont="1" applyFill="1"/>
    <xf numFmtId="0" fontId="43" fillId="5" borderId="27" xfId="0" applyFont="1" applyFill="1" applyBorder="1" applyAlignment="1">
      <alignment horizontal="center"/>
    </xf>
    <xf numFmtId="0" fontId="43" fillId="5" borderId="0" xfId="0" applyFont="1" applyFill="1" applyAlignment="1">
      <alignment horizontal="center"/>
    </xf>
    <xf numFmtId="0" fontId="43" fillId="5" borderId="0" xfId="0" applyFont="1" applyFill="1" applyAlignment="1">
      <alignment horizontal="center" vertical="center" wrapText="1"/>
    </xf>
    <xf numFmtId="0" fontId="43" fillId="5" borderId="0" xfId="0" applyFont="1" applyFill="1" applyAlignment="1">
      <alignment horizontal="center" vertical="center"/>
    </xf>
    <xf numFmtId="0" fontId="43" fillId="5" borderId="28" xfId="0" applyFont="1" applyFill="1" applyBorder="1" applyAlignment="1">
      <alignment horizontal="center" vertical="center"/>
    </xf>
    <xf numFmtId="0" fontId="41" fillId="0" borderId="27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39" fillId="6" borderId="27" xfId="0" applyFont="1" applyFill="1" applyBorder="1"/>
    <xf numFmtId="0" fontId="39" fillId="6" borderId="0" xfId="0" applyFont="1" applyFill="1" applyAlignment="1">
      <alignment horizontal="center"/>
    </xf>
    <xf numFmtId="174" fontId="44" fillId="6" borderId="0" xfId="0" applyNumberFormat="1" applyFont="1" applyFill="1"/>
    <xf numFmtId="174" fontId="39" fillId="6" borderId="0" xfId="0" applyNumberFormat="1" applyFont="1" applyFill="1"/>
    <xf numFmtId="176" fontId="39" fillId="6" borderId="0" xfId="0" applyNumberFormat="1" applyFont="1" applyFill="1"/>
    <xf numFmtId="176" fontId="39" fillId="6" borderId="28" xfId="0" applyNumberFormat="1" applyFont="1" applyFill="1" applyBorder="1"/>
    <xf numFmtId="0" fontId="33" fillId="0" borderId="27" xfId="0" applyFont="1" applyBorder="1"/>
    <xf numFmtId="0" fontId="39" fillId="0" borderId="0" xfId="0" applyFont="1" applyAlignment="1">
      <alignment horizontal="center"/>
    </xf>
    <xf numFmtId="173" fontId="44" fillId="0" borderId="0" xfId="0" applyNumberFormat="1" applyFont="1"/>
    <xf numFmtId="174" fontId="44" fillId="0" borderId="0" xfId="0" applyNumberFormat="1" applyFont="1"/>
    <xf numFmtId="174" fontId="39" fillId="0" borderId="0" xfId="0" applyNumberFormat="1" applyFont="1"/>
    <xf numFmtId="176" fontId="39" fillId="0" borderId="0" xfId="0" applyNumberFormat="1" applyFont="1"/>
    <xf numFmtId="176" fontId="39" fillId="0" borderId="28" xfId="0" applyNumberFormat="1" applyFont="1" applyBorder="1"/>
    <xf numFmtId="0" fontId="39" fillId="6" borderId="0" xfId="0" applyFont="1" applyFill="1"/>
    <xf numFmtId="0" fontId="37" fillId="6" borderId="0" xfId="0" applyFont="1" applyFill="1"/>
    <xf numFmtId="0" fontId="37" fillId="6" borderId="27" xfId="0" applyFont="1" applyFill="1" applyBorder="1"/>
    <xf numFmtId="176" fontId="37" fillId="6" borderId="0" xfId="0" applyNumberFormat="1" applyFont="1" applyFill="1"/>
    <xf numFmtId="176" fontId="37" fillId="6" borderId="28" xfId="0" applyNumberFormat="1" applyFont="1" applyFill="1" applyBorder="1"/>
    <xf numFmtId="0" fontId="42" fillId="5" borderId="0" xfId="0" applyFont="1" applyFill="1"/>
    <xf numFmtId="175" fontId="39" fillId="0" borderId="0" xfId="0" applyNumberFormat="1" applyFont="1"/>
    <xf numFmtId="174" fontId="39" fillId="0" borderId="28" xfId="0" applyNumberFormat="1" applyFont="1" applyBorder="1"/>
    <xf numFmtId="174" fontId="40" fillId="0" borderId="0" xfId="0" applyNumberFormat="1" applyFont="1"/>
    <xf numFmtId="0" fontId="45" fillId="3" borderId="24" xfId="0" applyFont="1" applyFill="1" applyBorder="1"/>
    <xf numFmtId="0" fontId="43" fillId="3" borderId="25" xfId="0" applyFont="1" applyFill="1" applyBorder="1"/>
    <xf numFmtId="0" fontId="42" fillId="0" borderId="0" xfId="0" applyFont="1" applyAlignment="1">
      <alignment horizontal="center" vertical="center"/>
    </xf>
    <xf numFmtId="0" fontId="39" fillId="6" borderId="28" xfId="0" applyFont="1" applyFill="1" applyBorder="1"/>
    <xf numFmtId="0" fontId="43" fillId="5" borderId="29" xfId="0" applyFont="1" applyFill="1" applyBorder="1" applyAlignment="1">
      <alignment horizontal="center"/>
    </xf>
    <xf numFmtId="0" fontId="42" fillId="3" borderId="29" xfId="0" applyFont="1" applyFill="1" applyBorder="1"/>
    <xf numFmtId="0" fontId="42" fillId="3" borderId="30" xfId="0" applyFont="1" applyFill="1" applyBorder="1"/>
    <xf numFmtId="0" fontId="2" fillId="0" borderId="0" xfId="0" applyFont="1" applyAlignment="1">
      <alignment horizontal="center" vertical="top"/>
    </xf>
    <xf numFmtId="175" fontId="37" fillId="6" borderId="0" xfId="0" applyNumberFormat="1" applyFont="1" applyFill="1"/>
    <xf numFmtId="174" fontId="38" fillId="6" borderId="0" xfId="0" applyNumberFormat="1" applyFont="1" applyFill="1"/>
    <xf numFmtId="0" fontId="33" fillId="3" borderId="0" xfId="0" applyFont="1" applyFill="1"/>
    <xf numFmtId="0" fontId="37" fillId="6" borderId="5" xfId="0" applyFont="1" applyFill="1" applyBorder="1"/>
    <xf numFmtId="0" fontId="0" fillId="3" borderId="0" xfId="0" applyFill="1"/>
    <xf numFmtId="0" fontId="33" fillId="0" borderId="7" xfId="0" applyFont="1" applyBorder="1"/>
    <xf numFmtId="0" fontId="33" fillId="3" borderId="15" xfId="0" applyFont="1" applyFill="1" applyBorder="1"/>
    <xf numFmtId="0" fontId="0" fillId="3" borderId="15" xfId="0" applyFill="1" applyBorder="1"/>
    <xf numFmtId="0" fontId="22" fillId="3" borderId="0" xfId="0" applyFont="1" applyFill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4" borderId="35" xfId="0" applyFont="1" applyFill="1" applyBorder="1"/>
    <xf numFmtId="0" fontId="5" fillId="4" borderId="33" xfId="0" applyFont="1" applyFill="1" applyBorder="1" applyAlignment="1">
      <alignment horizontal="right"/>
    </xf>
    <xf numFmtId="0" fontId="5" fillId="4" borderId="34" xfId="0" applyFont="1" applyFill="1" applyBorder="1" applyAlignment="1">
      <alignment horizontal="right"/>
    </xf>
    <xf numFmtId="0" fontId="5" fillId="4" borderId="38" xfId="0" applyFont="1" applyFill="1" applyBorder="1"/>
    <xf numFmtId="0" fontId="48" fillId="4" borderId="32" xfId="0" applyFont="1" applyFill="1" applyBorder="1"/>
    <xf numFmtId="9" fontId="31" fillId="0" borderId="0" xfId="1" applyFont="1"/>
    <xf numFmtId="0" fontId="31" fillId="0" borderId="2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177" fontId="25" fillId="0" borderId="0" xfId="0" applyNumberFormat="1" applyFont="1"/>
    <xf numFmtId="165" fontId="29" fillId="0" borderId="0" xfId="1" applyNumberFormat="1" applyFont="1" applyAlignment="1">
      <alignment horizontal="left" vertical="top"/>
    </xf>
    <xf numFmtId="172" fontId="15" fillId="0" borderId="0" xfId="0" applyNumberFormat="1" applyFont="1"/>
    <xf numFmtId="172" fontId="15" fillId="0" borderId="1" xfId="0" applyNumberFormat="1" applyFont="1" applyBorder="1"/>
    <xf numFmtId="171" fontId="49" fillId="0" borderId="0" xfId="1" applyNumberFormat="1" applyFont="1"/>
    <xf numFmtId="171" fontId="0" fillId="0" borderId="8" xfId="0" applyNumberFormat="1" applyBorder="1"/>
    <xf numFmtId="9" fontId="32" fillId="0" borderId="22" xfId="1" applyFont="1" applyBorder="1"/>
    <xf numFmtId="171" fontId="11" fillId="4" borderId="36" xfId="0" applyNumberFormat="1" applyFont="1" applyFill="1" applyBorder="1"/>
    <xf numFmtId="171" fontId="11" fillId="4" borderId="37" xfId="0" applyNumberFormat="1" applyFont="1" applyFill="1" applyBorder="1"/>
    <xf numFmtId="164" fontId="44" fillId="6" borderId="0" xfId="0" applyNumberFormat="1" applyFont="1" applyFill="1"/>
    <xf numFmtId="164" fontId="44" fillId="0" borderId="0" xfId="0" applyNumberFormat="1" applyFont="1"/>
    <xf numFmtId="164" fontId="39" fillId="0" borderId="0" xfId="0" applyNumberFormat="1" applyFont="1"/>
    <xf numFmtId="164" fontId="39" fillId="0" borderId="28" xfId="0" applyNumberFormat="1" applyFont="1" applyBorder="1"/>
    <xf numFmtId="164" fontId="0" fillId="3" borderId="6" xfId="0" applyNumberFormat="1" applyFill="1" applyBorder="1"/>
    <xf numFmtId="164" fontId="0" fillId="3" borderId="8" xfId="0" applyNumberFormat="1" applyFill="1" applyBorder="1"/>
    <xf numFmtId="164" fontId="37" fillId="6" borderId="0" xfId="0" applyNumberFormat="1" applyFont="1" applyFill="1"/>
    <xf numFmtId="164" fontId="37" fillId="6" borderId="6" xfId="0" applyNumberFormat="1" applyFont="1" applyFill="1" applyBorder="1"/>
    <xf numFmtId="171" fontId="44" fillId="6" borderId="0" xfId="0" applyNumberFormat="1" applyFont="1" applyFill="1"/>
    <xf numFmtId="171" fontId="44" fillId="0" borderId="0" xfId="0" applyNumberFormat="1" applyFont="1"/>
    <xf numFmtId="171" fontId="11" fillId="4" borderId="31" xfId="0" applyNumberFormat="1" applyFont="1" applyFill="1" applyBorder="1"/>
    <xf numFmtId="171" fontId="11" fillId="4" borderId="39" xfId="0" applyNumberFormat="1" applyFont="1" applyFill="1" applyBorder="1"/>
    <xf numFmtId="0" fontId="31" fillId="3" borderId="13" xfId="0" applyFont="1" applyFill="1" applyBorder="1" applyAlignment="1">
      <alignment horizontal="centerContinuous"/>
    </xf>
    <xf numFmtId="164" fontId="25" fillId="3" borderId="13" xfId="0" applyNumberFormat="1" applyFont="1" applyFill="1" applyBorder="1"/>
    <xf numFmtId="164" fontId="25" fillId="3" borderId="4" xfId="0" applyNumberFormat="1" applyFont="1" applyFill="1" applyBorder="1"/>
    <xf numFmtId="10" fontId="0" fillId="0" borderId="12" xfId="0" applyNumberFormat="1" applyBorder="1" applyAlignment="1">
      <alignment horizontal="center"/>
    </xf>
    <xf numFmtId="172" fontId="25" fillId="0" borderId="15" xfId="0" applyNumberFormat="1" applyFont="1" applyBorder="1"/>
    <xf numFmtId="2" fontId="50" fillId="0" borderId="0" xfId="0" applyNumberFormat="1" applyFont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5" fillId="0" borderId="0" xfId="0" applyFont="1" applyBorder="1"/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RELATIVE VS INTRINSIC TERMINAL VALUE</a:t>
            </a:r>
          </a:p>
        </c:rich>
      </c:tx>
      <c:layout>
        <c:manualLayout>
          <c:xMode val="edge"/>
          <c:yMode val="edge"/>
          <c:x val="0.22820500106739838"/>
          <c:y val="4.02138114422068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DCF!$K$30:$K$31</c:f>
              <c:strCache>
                <c:ptCount val="2"/>
                <c:pt idx="0">
                  <c:v>MULTIPLE METHOD</c:v>
                </c:pt>
                <c:pt idx="1">
                  <c:v>PERPETUITY METHOD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DCF!$K$30:$K$31</c:f>
              <c:strCache>
                <c:ptCount val="2"/>
                <c:pt idx="0">
                  <c:v>MULTIPLE METHOD</c:v>
                </c:pt>
                <c:pt idx="1">
                  <c:v>PERPETUITY METHOD</c:v>
                </c:pt>
              </c:strCache>
            </c:strRef>
          </c:cat>
          <c:val>
            <c:numRef>
              <c:f>DCF!$M$30:$M$31</c:f>
              <c:numCache>
                <c:formatCode>_-[$$-409]* #,##0_ ;_-[$$-409]* \-#,##0\ ;_-[$$-409]* "-"??_ ;_-@_ </c:formatCode>
                <c:ptCount val="2"/>
                <c:pt idx="0">
                  <c:v>7248215.6018653419</c:v>
                </c:pt>
                <c:pt idx="1">
                  <c:v>12525728.307382295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B-40B6-98BC-659B775A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40520184"/>
        <c:axId val="640520544"/>
      </c:barChart>
      <c:catAx>
        <c:axId val="64052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544"/>
        <c:crosses val="autoZero"/>
        <c:auto val="1"/>
        <c:lblAlgn val="ctr"/>
        <c:lblOffset val="100"/>
        <c:noMultiLvlLbl val="0"/>
      </c:catAx>
      <c:valAx>
        <c:axId val="640520544"/>
        <c:scaling>
          <c:orientation val="minMax"/>
        </c:scaling>
        <c:delete val="0"/>
        <c:axPos val="l"/>
        <c:numFmt formatCode="_-[$$-409]* #,##0_ ;_-[$$-409]* \-#,##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20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OPERATING INCOME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REVENUE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DCF!$J$5:$N$5</c:f>
              <c:strCache>
                <c:ptCount val="5"/>
                <c:pt idx="0">
                  <c:v>2025A&amp;F</c:v>
                </c:pt>
                <c:pt idx="1">
                  <c:v>2026F</c:v>
                </c:pt>
                <c:pt idx="2">
                  <c:v>2027F</c:v>
                </c:pt>
                <c:pt idx="3">
                  <c:v>2028F</c:v>
                </c:pt>
                <c:pt idx="4">
                  <c:v>2029F</c:v>
                </c:pt>
              </c:strCache>
            </c:strRef>
          </c:cat>
          <c:val>
            <c:numRef>
              <c:f>DCF!$J$6:$N$6</c:f>
              <c:numCache>
                <c:formatCode>_-[$$-409]* #,##0.0_ ;_-[$$-409]* \-#,##0.0\ ;_-[$$-409]* "-"??_ ;_-@_ </c:formatCode>
                <c:ptCount val="5"/>
                <c:pt idx="0">
                  <c:v>6028000.0000000009</c:v>
                </c:pt>
                <c:pt idx="1">
                  <c:v>6630800.0000000009</c:v>
                </c:pt>
                <c:pt idx="2">
                  <c:v>7293880.0000000009</c:v>
                </c:pt>
                <c:pt idx="3">
                  <c:v>8023268.0000000009</c:v>
                </c:pt>
                <c:pt idx="4">
                  <c:v>8825594.8000000007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2-4D1A-AFCC-1464CB30B0E5}"/>
            </c:ext>
          </c:extLst>
        </c:ser>
        <c:ser>
          <c:idx val="1"/>
          <c:order val="2"/>
          <c:tx>
            <c:strRef>
              <c:f>DCF!$C$12</c:f>
              <c:strCache>
                <c:ptCount val="1"/>
                <c:pt idx="0">
                  <c:v>TOTAL EXPENSES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val>
            <c:numRef>
              <c:f>DCF!$J$12:$N$12</c:f>
              <c:numCache>
                <c:formatCode>_-[$$-409]* #,##0.0_ ;_-[$$-409]* \-#,##0.0\ ;_-[$$-409]* "-"??_ ;_-@_ </c:formatCode>
                <c:ptCount val="5"/>
                <c:pt idx="0">
                  <c:v>5595676.9916012278</c:v>
                </c:pt>
                <c:pt idx="1">
                  <c:v>6124392.190761351</c:v>
                </c:pt>
                <c:pt idx="2">
                  <c:v>6703664.9723374853</c:v>
                </c:pt>
                <c:pt idx="3">
                  <c:v>7338377.5492587341</c:v>
                </c:pt>
                <c:pt idx="4">
                  <c:v>8033887.3398486692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F-42F6-94A7-8AB7DFBC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6796360"/>
        <c:axId val="686792760"/>
      </c:barChart>
      <c:lineChart>
        <c:grouping val="standard"/>
        <c:varyColors val="0"/>
        <c:ser>
          <c:idx val="8"/>
          <c:order val="1"/>
          <c:tx>
            <c:v>EBIT (OPERATING INCOME)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>
                <a:noFill/>
              </a:ln>
              <a:effectLst/>
            </c:spPr>
          </c:marker>
          <c:cat>
            <c:strRef>
              <c:f>DCF!$J$5:$N$5</c:f>
              <c:strCache>
                <c:ptCount val="5"/>
                <c:pt idx="0">
                  <c:v>2025A&amp;F</c:v>
                </c:pt>
                <c:pt idx="1">
                  <c:v>2026F</c:v>
                </c:pt>
                <c:pt idx="2">
                  <c:v>2027F</c:v>
                </c:pt>
                <c:pt idx="3">
                  <c:v>2028F</c:v>
                </c:pt>
                <c:pt idx="4">
                  <c:v>2029F</c:v>
                </c:pt>
              </c:strCache>
            </c:strRef>
          </c:cat>
          <c:val>
            <c:numRef>
              <c:f>DCF!$J$15:$N$15</c:f>
              <c:numCache>
                <c:formatCode>_-[$$-409]* #,##0.0_ ;_-[$$-409]* \-#,##0.0\ ;_-[$$-409]* "-"??_ ;_-@_ </c:formatCode>
                <c:ptCount val="5"/>
                <c:pt idx="0">
                  <c:v>432323.00839877315</c:v>
                </c:pt>
                <c:pt idx="1">
                  <c:v>506407.8092386499</c:v>
                </c:pt>
                <c:pt idx="2">
                  <c:v>590215.02766251564</c:v>
                </c:pt>
                <c:pt idx="3">
                  <c:v>684890.45074126683</c:v>
                </c:pt>
                <c:pt idx="4">
                  <c:v>791707.4601513315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52-4D1A-AFCC-1464CB30B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796360"/>
        <c:axId val="686792760"/>
      </c:lineChart>
      <c:catAx>
        <c:axId val="6867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2760"/>
        <c:crosses val="autoZero"/>
        <c:auto val="1"/>
        <c:lblAlgn val="ctr"/>
        <c:lblOffset val="100"/>
        <c:noMultiLvlLbl val="0"/>
      </c:catAx>
      <c:valAx>
        <c:axId val="6867927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_-[$$-409]* #,##0.0_ ;_-[$$-409]* \-#,##0.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79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tr-TR"/>
              <a:t>Valuation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DCF!$D$50</c:f>
              <c:strCache>
                <c:ptCount val="1"/>
                <c:pt idx="0">
                  <c:v>Worst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0837925892547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22-4F57-B70A-1AE885FB4B8D}"/>
                </c:ext>
              </c:extLst>
            </c:dLbl>
            <c:dLbl>
              <c:idx val="1"/>
              <c:layout>
                <c:manualLayout>
                  <c:x val="0"/>
                  <c:y val="-6.7864437731419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722-4F57-B70A-1AE885FB4B8D}"/>
                </c:ext>
              </c:extLst>
            </c:dLbl>
            <c:numFmt formatCode="[$$-409]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DCF!$C$51:$C$52</c:f>
              <c:strCache>
                <c:ptCount val="2"/>
                <c:pt idx="0">
                  <c:v>Comparable Companies</c:v>
                </c:pt>
                <c:pt idx="1">
                  <c:v>DCF</c:v>
                </c:pt>
              </c:strCache>
            </c:strRef>
          </c:cat>
          <c:val>
            <c:numRef>
              <c:f>DCF!$D$51:$D$52</c:f>
              <c:numCache>
                <c:formatCode>_-[$$-409]* #,##0.0_ ;_-[$$-409]* \-#,##0.0\ ;_-[$$-409]* "-"??_ ;_-@_ </c:formatCode>
                <c:ptCount val="2"/>
                <c:pt idx="0">
                  <c:v>139.91</c:v>
                </c:pt>
                <c:pt idx="1">
                  <c:v>67.846425170000003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22-4F57-B70A-1AE885FB4B8D}"/>
            </c:ext>
          </c:extLst>
        </c:ser>
        <c:ser>
          <c:idx val="1"/>
          <c:order val="1"/>
          <c:tx>
            <c:strRef>
              <c:f>DCF!$E$50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DCF!$C$51:$C$52</c:f>
              <c:strCache>
                <c:ptCount val="2"/>
                <c:pt idx="0">
                  <c:v>Comparable Companies</c:v>
                </c:pt>
                <c:pt idx="1">
                  <c:v>DCF</c:v>
                </c:pt>
              </c:strCache>
            </c:strRef>
          </c:cat>
          <c:val>
            <c:numRef>
              <c:f>DCF!$E$51:$E$52</c:f>
              <c:numCache>
                <c:formatCode>_-[$$-409]* #,##0.0_ ;_-[$$-409]* \-#,##0.0\ ;_-[$$-409]* "-"??_ ;_-@_ </c:formatCode>
                <c:ptCount val="2"/>
                <c:pt idx="0">
                  <c:v>147.05000000000001</c:v>
                </c:pt>
                <c:pt idx="1">
                  <c:v>124.02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722-4F57-B70A-1AE885FB4B8D}"/>
            </c:ext>
          </c:extLst>
        </c:ser>
        <c:ser>
          <c:idx val="2"/>
          <c:order val="2"/>
          <c:tx>
            <c:strRef>
              <c:f>DCF!$F$50</c:f>
              <c:strCache>
                <c:ptCount val="1"/>
                <c:pt idx="0">
                  <c:v>Best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805225524308247E-3"/>
                  <c:y val="-0.12572238313060852"/>
                </c:manualLayout>
              </c:layout>
              <c:numFmt formatCode="[$$-409]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723172034348385E-2"/>
                      <c:h val="6.03650794082380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E722-4F57-B70A-1AE885FB4B8D}"/>
                </c:ext>
              </c:extLst>
            </c:dLbl>
            <c:dLbl>
              <c:idx val="1"/>
              <c:layout>
                <c:manualLayout>
                  <c:x val="0"/>
                  <c:y val="-0.127121349660670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22-4F57-B70A-1AE885FB4B8D}"/>
                </c:ext>
              </c:extLst>
            </c:dLbl>
            <c:numFmt formatCode="[$$-409]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DCF!$C$51:$C$52</c:f>
              <c:strCache>
                <c:ptCount val="2"/>
                <c:pt idx="0">
                  <c:v>Comparable Companies</c:v>
                </c:pt>
                <c:pt idx="1">
                  <c:v>DCF</c:v>
                </c:pt>
              </c:strCache>
            </c:strRef>
          </c:cat>
          <c:val>
            <c:numRef>
              <c:f>DCF!$F$51:$F$52</c:f>
              <c:numCache>
                <c:formatCode>_-[$$-409]* #,##0.0_ ;_-[$$-409]* \-#,##0.0\ ;_-[$$-409]* "-"??_ ;_-@_ </c:formatCode>
                <c:ptCount val="2"/>
                <c:pt idx="0">
                  <c:v>162.44999999999999</c:v>
                </c:pt>
                <c:pt idx="1">
                  <c:v>194.71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722-4F57-B70A-1AE885FB4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2155704"/>
        <c:axId val="612159304"/>
      </c:barChart>
      <c:catAx>
        <c:axId val="61215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ln>
                  <a:solidFill>
                    <a:schemeClr val="tx1">
                      <a:lumMod val="15000"/>
                      <a:lumOff val="85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59304"/>
        <c:crosses val="autoZero"/>
        <c:auto val="1"/>
        <c:lblAlgn val="ctr"/>
        <c:lblOffset val="100"/>
        <c:noMultiLvlLbl val="0"/>
      </c:catAx>
      <c:valAx>
        <c:axId val="61215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[$$-409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55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81643</xdr:colOff>
      <xdr:row>33</xdr:row>
      <xdr:rowOff>231322</xdr:rowOff>
    </xdr:from>
    <xdr:to>
      <xdr:col>10</xdr:col>
      <xdr:colOff>1170216</xdr:colOff>
      <xdr:row>48</xdr:row>
      <xdr:rowOff>54429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0F60F-8042-8876-F030-AEBCBB799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258536</xdr:colOff>
      <xdr:row>33</xdr:row>
      <xdr:rowOff>231321</xdr:rowOff>
    </xdr:from>
    <xdr:to>
      <xdr:col>15</xdr:col>
      <xdr:colOff>0</xdr:colOff>
      <xdr:row>48</xdr:row>
      <xdr:rowOff>54427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EBD7B7E-CAD2-9F8A-D9C2-93DDB85D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1221920</xdr:colOff>
      <xdr:row>33</xdr:row>
      <xdr:rowOff>81644</xdr:rowOff>
    </xdr:from>
    <xdr:to>
      <xdr:col>5</xdr:col>
      <xdr:colOff>666748</xdr:colOff>
      <xdr:row>47</xdr:row>
      <xdr:rowOff>25854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BA8DDE63-BDDC-BA97-8DD0-3B50CE41C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550560</xdr:colOff>
      <xdr:row>43</xdr:row>
      <xdr:rowOff>194795</xdr:rowOff>
    </xdr:from>
    <xdr:to>
      <xdr:col>5</xdr:col>
      <xdr:colOff>539354</xdr:colOff>
      <xdr:row>43</xdr:row>
      <xdr:rowOff>206001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70E2E4E0-C0AE-B57C-6290-3A44B623591C}"/>
            </a:ext>
          </a:extLst>
        </xdr:cNvPr>
        <xdr:cNvCxnSpPr/>
      </xdr:nvCxnSpPr>
      <xdr:spPr>
        <a:xfrm>
          <a:off x="3084625" y="10663393"/>
          <a:ext cx="5982720" cy="11206"/>
        </a:xfrm>
        <a:prstGeom prst="line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238125</xdr:colOff>
      <xdr:row>48</xdr:row>
      <xdr:rowOff>145521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0" y="0"/>
          <a:ext cx="17885833" cy="903552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chemeClr val="accent6"/>
              </a:solidFill>
            </a:rPr>
            <a:t>Name:</a:t>
          </a:r>
          <a:r>
            <a:rPr lang="en-US" sz="2400">
              <a:solidFill>
                <a:schemeClr val="accent6"/>
              </a:solidFill>
            </a:rPr>
            <a:t> Mercury General Corporation</a:t>
          </a:r>
        </a:p>
        <a:p>
          <a:r>
            <a:rPr lang="en-US" sz="2400" b="1">
              <a:solidFill>
                <a:schemeClr val="accent6"/>
              </a:solidFill>
            </a:rPr>
            <a:t>Ticker Symbol:</a:t>
          </a:r>
          <a:r>
            <a:rPr lang="en-US" sz="2400">
              <a:solidFill>
                <a:schemeClr val="accent6"/>
              </a:solidFill>
            </a:rPr>
            <a:t> MCY (listed on the NYSE)</a:t>
          </a:r>
        </a:p>
        <a:p>
          <a:r>
            <a:rPr lang="en-US" sz="2400" b="1">
              <a:solidFill>
                <a:schemeClr val="accent6"/>
              </a:solidFill>
            </a:rPr>
            <a:t>Founded:</a:t>
          </a:r>
          <a:r>
            <a:rPr lang="en-US" sz="2400">
              <a:solidFill>
                <a:schemeClr val="accent6"/>
              </a:solidFill>
            </a:rPr>
            <a:t> 1961 by George Joseph</a:t>
          </a:r>
        </a:p>
        <a:p>
          <a:r>
            <a:rPr lang="en-US" sz="2400" b="1">
              <a:solidFill>
                <a:schemeClr val="accent6"/>
              </a:solidFill>
            </a:rPr>
            <a:t>Headquarters:</a:t>
          </a:r>
          <a:r>
            <a:rPr lang="en-US" sz="2400">
              <a:solidFill>
                <a:schemeClr val="accent6"/>
              </a:solidFill>
            </a:rPr>
            <a:t> Los Angeles, California, USA</a:t>
          </a:r>
        </a:p>
        <a:p>
          <a:r>
            <a:rPr lang="en-US" sz="2400" b="1">
              <a:solidFill>
                <a:schemeClr val="accent6"/>
              </a:solidFill>
            </a:rPr>
            <a:t>Industry:</a:t>
          </a:r>
          <a:r>
            <a:rPr lang="en-US" sz="2400">
              <a:solidFill>
                <a:schemeClr val="accent6"/>
              </a:solidFill>
            </a:rPr>
            <a:t> Insurance – Property &amp; Casualty (P&amp;C)</a:t>
          </a:r>
        </a:p>
        <a:p>
          <a:endParaRPr lang="en-US" sz="2400">
            <a:solidFill>
              <a:schemeClr val="accent6"/>
            </a:solidFill>
          </a:endParaRPr>
        </a:p>
        <a:p>
          <a:r>
            <a:rPr lang="en-US" sz="2400">
              <a:solidFill>
                <a:schemeClr val="accent6"/>
              </a:solidFill>
            </a:rPr>
            <a:t>Mercury General is a </a:t>
          </a:r>
          <a:r>
            <a:rPr lang="en-US" sz="2400" b="1">
              <a:solidFill>
                <a:schemeClr val="accent6"/>
              </a:solidFill>
            </a:rPr>
            <a:t>California-based P&amp;C insurer</a:t>
          </a:r>
          <a:r>
            <a:rPr lang="en-US" sz="2400">
              <a:solidFill>
                <a:schemeClr val="accent6"/>
              </a:solidFill>
            </a:rPr>
            <a:t> best known for auto insurance, with a conservative balance sheet, stable dividend history, and a focus on personal and small commercial lines in select U.S. states.</a:t>
          </a:r>
        </a:p>
        <a:p>
          <a:endParaRPr lang="tr-TR" sz="2400">
            <a:solidFill>
              <a:schemeClr val="accent6"/>
            </a:solidFill>
          </a:endParaRPr>
        </a:p>
        <a:p>
          <a:r>
            <a:rPr lang="tr-TR" sz="2400" b="0">
              <a:solidFill>
                <a:schemeClr val="accent6"/>
              </a:solidFill>
            </a:rPr>
            <a:t>General</a:t>
          </a:r>
          <a:r>
            <a:rPr lang="tr-TR" sz="2400" baseline="0">
              <a:solidFill>
                <a:schemeClr val="accent6"/>
              </a:solidFill>
            </a:rPr>
            <a:t> Notes:</a:t>
          </a:r>
          <a:r>
            <a:rPr lang="en-US" sz="2400" baseline="0">
              <a:solidFill>
                <a:schemeClr val="accent6"/>
              </a:solidFill>
            </a:rPr>
            <a:t> The company is in car insurance business in california. That makes company </a:t>
          </a:r>
        </a:p>
        <a:p>
          <a:r>
            <a:rPr lang="en-US" sz="2400" baseline="0">
              <a:solidFill>
                <a:schemeClr val="accent6"/>
              </a:solidFill>
            </a:rPr>
            <a:t>to have more profitable results than other insurance companies due to the demographics of</a:t>
          </a:r>
        </a:p>
        <a:p>
          <a:r>
            <a:rPr lang="en-US" sz="2400" baseline="0">
              <a:solidFill>
                <a:schemeClr val="accent6"/>
              </a:solidFill>
            </a:rPr>
            <a:t>California. Younger people pay more for car insurance and it makes California to be one of the</a:t>
          </a:r>
        </a:p>
        <a:p>
          <a:r>
            <a:rPr lang="en-US" sz="2400" baseline="0">
              <a:solidFill>
                <a:schemeClr val="accent6"/>
              </a:solidFill>
            </a:rPr>
            <a:t>best places to operate for a car insurance company. Besides that, company has high cash flow</a:t>
          </a:r>
        </a:p>
        <a:p>
          <a:r>
            <a:rPr lang="en-US" sz="2400" baseline="0">
              <a:solidFill>
                <a:schemeClr val="accent6"/>
              </a:solidFill>
            </a:rPr>
            <a:t>and earnings compared to its market price.</a:t>
          </a:r>
          <a:endParaRPr lang="tr-TR" sz="2400">
            <a:solidFill>
              <a:schemeClr val="accent6"/>
            </a:solidFill>
          </a:endParaRPr>
        </a:p>
        <a:p>
          <a:endParaRPr lang="tr-TR" sz="2400">
            <a:solidFill>
              <a:schemeClr val="accent1">
                <a:lumMod val="75000"/>
              </a:schemeClr>
            </a:solidFill>
          </a:endParaRPr>
        </a:p>
        <a:p>
          <a:r>
            <a:rPr lang="en-US" sz="2400">
              <a:solidFill>
                <a:schemeClr val="accent6"/>
              </a:solidFill>
            </a:rPr>
            <a:t>The company</a:t>
          </a:r>
          <a:r>
            <a:rPr lang="en-US" sz="2400" baseline="0">
              <a:solidFill>
                <a:schemeClr val="accent6"/>
              </a:solidFill>
            </a:rPr>
            <a:t> has conservative investment portfolio, not in risky assets, high tradition to pay dividends.</a:t>
          </a:r>
        </a:p>
        <a:p>
          <a:r>
            <a:rPr lang="en-US" sz="2400" baseline="0">
              <a:solidFill>
                <a:schemeClr val="accent6"/>
              </a:solidFill>
            </a:rPr>
            <a:t>The dividends at historical low's but projected to increase by time. </a:t>
          </a:r>
        </a:p>
        <a:p>
          <a:endParaRPr lang="en-US" sz="2400" baseline="0">
            <a:solidFill>
              <a:schemeClr val="accent6"/>
            </a:solidFill>
          </a:endParaRPr>
        </a:p>
        <a:p>
          <a:r>
            <a:rPr lang="en-US" sz="2400" baseline="0">
              <a:solidFill>
                <a:schemeClr val="accent6"/>
              </a:solidFill>
            </a:rPr>
            <a:t>I used premium balance receivables for accounts receivables and unearned premiums for accounts payable since it is an insurance company.</a:t>
          </a:r>
        </a:p>
        <a:p>
          <a:r>
            <a:rPr lang="en-US" sz="2400" baseline="0">
              <a:solidFill>
                <a:schemeClr val="accent6"/>
              </a:solidFill>
            </a:rPr>
            <a:t>The company also does not have inventories.</a:t>
          </a:r>
        </a:p>
        <a:p>
          <a:r>
            <a:rPr lang="en-US" sz="2400" baseline="0">
              <a:solidFill>
                <a:schemeClr val="accent6"/>
              </a:solidFill>
            </a:rPr>
            <a:t>Also couldn't use ebitda due to the nature of insurance business at Comparable Companies Analysis section.</a:t>
          </a:r>
          <a:endParaRPr lang="tr-TR" sz="2400">
            <a:solidFill>
              <a:schemeClr val="accent6"/>
            </a:solidFill>
          </a:endParaRPr>
        </a:p>
        <a:p>
          <a:endParaRPr lang="tr-TR" sz="2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zoomScale="49" zoomScaleNormal="70" workbookViewId="0">
      <selection activeCell="O18" sqref="O18"/>
    </sheetView>
  </sheetViews>
  <sheetFormatPr defaultColWidth="18.7265625" defaultRowHeight="14.5" x14ac:dyDescent="0.35"/>
  <cols>
    <col min="1" max="1" width="17.54296875" customWidth="1"/>
    <col min="2" max="2" width="18.7265625" customWidth="1"/>
    <col min="3" max="3" width="42.54296875" customWidth="1"/>
    <col min="4" max="4" width="20.81640625" bestFit="1" customWidth="1"/>
    <col min="5" max="5" width="22.453125" bestFit="1" customWidth="1"/>
    <col min="6" max="6" width="20.81640625" bestFit="1" customWidth="1"/>
  </cols>
  <sheetData>
    <row r="1" spans="1:16" ht="15" thickBot="1" x14ac:dyDescent="0.4"/>
    <row r="2" spans="1:16" ht="41.5" thickBot="1" x14ac:dyDescent="0.95">
      <c r="C2" s="56" t="s">
        <v>124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pans="1:16" ht="15" thickBot="1" x14ac:dyDescent="0.4"/>
    <row r="4" spans="1:16" ht="18.5" x14ac:dyDescent="0.45">
      <c r="B4" s="65"/>
      <c r="C4" s="66"/>
      <c r="D4" s="230" t="s">
        <v>122</v>
      </c>
      <c r="E4" s="67"/>
      <c r="F4" s="67"/>
      <c r="G4" s="67"/>
      <c r="H4" s="67"/>
      <c r="I4" s="68"/>
      <c r="J4" s="69" t="s">
        <v>123</v>
      </c>
      <c r="K4" s="67"/>
      <c r="L4" s="67"/>
      <c r="M4" s="67"/>
      <c r="N4" s="67"/>
      <c r="O4" s="70"/>
      <c r="P4" s="65"/>
    </row>
    <row r="5" spans="1:16" ht="18.5" x14ac:dyDescent="0.45">
      <c r="B5" s="65"/>
      <c r="C5" s="71"/>
      <c r="D5" s="72" t="s">
        <v>53</v>
      </c>
      <c r="E5" s="72" t="s">
        <v>63</v>
      </c>
      <c r="F5" s="72" t="s">
        <v>54</v>
      </c>
      <c r="G5" s="72" t="s">
        <v>55</v>
      </c>
      <c r="H5" s="72" t="s">
        <v>56</v>
      </c>
      <c r="I5" s="72" t="s">
        <v>1</v>
      </c>
      <c r="J5" s="72" t="s">
        <v>119</v>
      </c>
      <c r="K5" s="72" t="s">
        <v>116</v>
      </c>
      <c r="L5" s="72" t="s">
        <v>117</v>
      </c>
      <c r="M5" s="72" t="s">
        <v>66</v>
      </c>
      <c r="N5" s="72" t="s">
        <v>118</v>
      </c>
      <c r="O5" s="73" t="s">
        <v>51</v>
      </c>
      <c r="P5" s="65"/>
    </row>
    <row r="6" spans="1:16" ht="18.5" x14ac:dyDescent="0.45">
      <c r="B6" s="65"/>
      <c r="C6" s="74" t="s">
        <v>0</v>
      </c>
      <c r="D6" s="213">
        <v>3780000</v>
      </c>
      <c r="E6" s="213">
        <v>3990000</v>
      </c>
      <c r="F6" s="213">
        <v>3640000</v>
      </c>
      <c r="G6" s="213">
        <v>4630000</v>
      </c>
      <c r="H6" s="213">
        <v>5480000</v>
      </c>
      <c r="I6" s="103"/>
      <c r="J6" s="104">
        <f>H6*(1+ASSUMPTIONS!D10)</f>
        <v>6028000.0000000009</v>
      </c>
      <c r="K6" s="104">
        <f>J6+J6*ASSUMPTIONS!$D$10</f>
        <v>6630800.0000000009</v>
      </c>
      <c r="L6" s="104">
        <f>K6+K6*ASSUMPTIONS!$D$10</f>
        <v>7293880.0000000009</v>
      </c>
      <c r="M6" s="104">
        <f>L6+L6*ASSUMPTIONS!$D$10</f>
        <v>8023268.0000000009</v>
      </c>
      <c r="N6" s="104">
        <f>M6+M6*ASSUMPTIONS!$D$10</f>
        <v>8825594.8000000007</v>
      </c>
      <c r="O6" s="105">
        <f>N6+N6*ASSUMPTIONS!$D$10</f>
        <v>9708154.2800000012</v>
      </c>
      <c r="P6" s="65"/>
    </row>
    <row r="7" spans="1:16" ht="18.5" x14ac:dyDescent="0.45">
      <c r="B7" s="65"/>
      <c r="C7" s="77" t="s">
        <v>28</v>
      </c>
      <c r="D7" s="78"/>
      <c r="E7" s="98">
        <f>E6/D6-1</f>
        <v>5.555555555555558E-2</v>
      </c>
      <c r="F7" s="78">
        <f t="shared" ref="F7:H7" si="0">F6/E6-1</f>
        <v>-8.7719298245614086E-2</v>
      </c>
      <c r="G7" s="78">
        <f t="shared" si="0"/>
        <v>0.2719780219780219</v>
      </c>
      <c r="H7" s="78">
        <f t="shared" si="0"/>
        <v>0.18358531317494609</v>
      </c>
      <c r="I7" s="79">
        <f>GEOMEAN((E7+1),(F7+1),(G7+1),(H7+1))-1</f>
        <v>9.7291941258124792E-2</v>
      </c>
      <c r="J7" s="78"/>
      <c r="K7" s="78"/>
      <c r="L7" s="78"/>
      <c r="M7" s="78"/>
      <c r="N7" s="78"/>
      <c r="O7" s="80"/>
      <c r="P7" s="65"/>
    </row>
    <row r="8" spans="1:16" ht="18.5" x14ac:dyDescent="0.45">
      <c r="A8" s="65"/>
      <c r="B8" s="238"/>
      <c r="C8" s="81"/>
      <c r="D8" s="65"/>
      <c r="E8" s="65"/>
      <c r="F8" s="65"/>
      <c r="G8" s="65"/>
      <c r="H8" s="65"/>
      <c r="I8" s="65"/>
      <c r="J8" s="65"/>
      <c r="K8" s="65"/>
      <c r="L8" s="65"/>
      <c r="M8" s="65"/>
      <c r="N8" s="238"/>
      <c r="O8" s="80"/>
    </row>
    <row r="9" spans="1:16" ht="18.5" x14ac:dyDescent="0.45">
      <c r="B9" s="65"/>
      <c r="C9" s="74" t="s">
        <v>2</v>
      </c>
      <c r="D9" s="103">
        <v>2400000</v>
      </c>
      <c r="E9" s="103">
        <v>2760000</v>
      </c>
      <c r="F9" s="103">
        <v>3360000</v>
      </c>
      <c r="G9" s="103">
        <v>3360000</v>
      </c>
      <c r="H9" s="103">
        <v>3520000</v>
      </c>
      <c r="I9" s="104"/>
      <c r="J9" s="209">
        <f t="shared" ref="J9:O9" si="1">J6*$I$10</f>
        <v>4361576.9916012278</v>
      </c>
      <c r="K9" s="75">
        <f t="shared" si="1"/>
        <v>4797734.690761351</v>
      </c>
      <c r="L9" s="75">
        <f t="shared" si="1"/>
        <v>5277508.1598374853</v>
      </c>
      <c r="M9" s="75">
        <f t="shared" si="1"/>
        <v>5805258.9758212343</v>
      </c>
      <c r="N9" s="75">
        <f t="shared" si="1"/>
        <v>6385784.8734033573</v>
      </c>
      <c r="O9" s="76">
        <f t="shared" si="1"/>
        <v>7024363.3607436931</v>
      </c>
      <c r="P9" s="65"/>
    </row>
    <row r="10" spans="1:16" ht="18.5" x14ac:dyDescent="0.45">
      <c r="B10" s="65"/>
      <c r="C10" s="122" t="s">
        <v>72</v>
      </c>
      <c r="D10" s="1">
        <f>D9/D6</f>
        <v>0.63492063492063489</v>
      </c>
      <c r="E10" s="1">
        <f t="shared" ref="E10:H10" si="2">E9/E6</f>
        <v>0.69172932330827064</v>
      </c>
      <c r="F10" s="1">
        <f t="shared" si="2"/>
        <v>0.92307692307692313</v>
      </c>
      <c r="G10" s="1">
        <f t="shared" si="2"/>
        <v>0.72570194384449249</v>
      </c>
      <c r="H10" s="1">
        <f t="shared" si="2"/>
        <v>0.64233576642335766</v>
      </c>
      <c r="I10" s="206">
        <f>AVERAGE(D10:H10)</f>
        <v>0.72355291831473578</v>
      </c>
      <c r="P10" s="65"/>
    </row>
    <row r="11" spans="1:16" ht="18.5" x14ac:dyDescent="0.45">
      <c r="B11" s="65"/>
      <c r="C11" s="74" t="s">
        <v>49</v>
      </c>
      <c r="D11" s="103">
        <v>915000</v>
      </c>
      <c r="E11" s="103">
        <v>832000</v>
      </c>
      <c r="F11" s="103">
        <v>932000</v>
      </c>
      <c r="G11" s="103">
        <v>988000</v>
      </c>
      <c r="H11" s="103">
        <v>1148000</v>
      </c>
      <c r="I11" s="104"/>
      <c r="J11" s="104">
        <f>H11*(1+ASSUMPTIONS!$D$12)</f>
        <v>1234100</v>
      </c>
      <c r="K11" s="104">
        <f>J11*(1+ASSUMPTIONS!$D$12)</f>
        <v>1326657.5</v>
      </c>
      <c r="L11" s="104">
        <f>K11*(1+ASSUMPTIONS!$D$12)</f>
        <v>1426156.8125</v>
      </c>
      <c r="M11" s="104">
        <f>L11*(1+ASSUMPTIONS!$D$12)</f>
        <v>1533118.5734375</v>
      </c>
      <c r="N11" s="104">
        <f>M11*(1+ASSUMPTIONS!$D$12)</f>
        <v>1648102.4664453124</v>
      </c>
      <c r="O11" s="105">
        <f>N11*(1+ASSUMPTIONS!$D$12)</f>
        <v>1771710.1514287107</v>
      </c>
      <c r="P11" s="65"/>
    </row>
    <row r="12" spans="1:16" ht="18.5" x14ac:dyDescent="0.45">
      <c r="B12" s="65"/>
      <c r="C12" s="74" t="s">
        <v>64</v>
      </c>
      <c r="D12" s="104">
        <f>SUM(D9,D11)</f>
        <v>3315000</v>
      </c>
      <c r="E12" s="104">
        <f t="shared" ref="E12:H12" si="3">SUM(E9,E11)</f>
        <v>3592000</v>
      </c>
      <c r="F12" s="104">
        <f t="shared" si="3"/>
        <v>4292000</v>
      </c>
      <c r="G12" s="104">
        <f t="shared" si="3"/>
        <v>4348000</v>
      </c>
      <c r="H12" s="104">
        <f t="shared" si="3"/>
        <v>4668000</v>
      </c>
      <c r="I12" s="104"/>
      <c r="J12" s="104">
        <f t="shared" ref="J12:O12" si="4">J9+J11</f>
        <v>5595676.9916012278</v>
      </c>
      <c r="K12" s="104">
        <f t="shared" si="4"/>
        <v>6124392.190761351</v>
      </c>
      <c r="L12" s="104">
        <f t="shared" si="4"/>
        <v>6703664.9723374853</v>
      </c>
      <c r="M12" s="104">
        <f t="shared" si="4"/>
        <v>7338377.5492587341</v>
      </c>
      <c r="N12" s="104">
        <f t="shared" si="4"/>
        <v>8033887.3398486692</v>
      </c>
      <c r="O12" s="105">
        <f t="shared" si="4"/>
        <v>8796073.5121724047</v>
      </c>
      <c r="P12" s="65"/>
    </row>
    <row r="13" spans="1:16" ht="18.5" x14ac:dyDescent="0.45">
      <c r="B13" s="65"/>
      <c r="C13" s="77" t="s">
        <v>71</v>
      </c>
      <c r="D13" s="78"/>
      <c r="E13" s="78">
        <f>E11/D11-1</f>
        <v>-9.0710382513661147E-2</v>
      </c>
      <c r="F13" s="78">
        <f>F11/E11-1</f>
        <v>0.12019230769230771</v>
      </c>
      <c r="G13" s="78">
        <f>G11/F11-1</f>
        <v>6.0085836909871349E-2</v>
      </c>
      <c r="H13" s="78">
        <f>H11/G11-1</f>
        <v>0.16194331983805665</v>
      </c>
      <c r="I13" s="79">
        <f>GEOMEAN((E13+1),(F13+1),(G13+1),(H13+1))-1</f>
        <v>5.8352155138243766E-2</v>
      </c>
      <c r="J13" s="78"/>
      <c r="K13" s="78"/>
      <c r="L13" s="78"/>
      <c r="M13" s="78"/>
      <c r="N13" s="78"/>
      <c r="O13" s="80"/>
      <c r="P13" s="65"/>
    </row>
    <row r="14" spans="1:16" ht="18.5" x14ac:dyDescent="0.45">
      <c r="B14" s="65"/>
      <c r="C14" s="81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80"/>
      <c r="P14" s="65"/>
    </row>
    <row r="15" spans="1:16" ht="18.5" x14ac:dyDescent="0.45">
      <c r="B15" s="65"/>
      <c r="C15" s="74" t="s">
        <v>48</v>
      </c>
      <c r="D15" s="104">
        <f>D6-D12</f>
        <v>465000</v>
      </c>
      <c r="E15" s="104">
        <f t="shared" ref="E15:H15" si="5">E6-E12</f>
        <v>398000</v>
      </c>
      <c r="F15" s="104">
        <f t="shared" si="5"/>
        <v>-652000</v>
      </c>
      <c r="G15" s="104">
        <f t="shared" si="5"/>
        <v>282000</v>
      </c>
      <c r="H15" s="104">
        <f t="shared" si="5"/>
        <v>812000</v>
      </c>
      <c r="I15" s="104"/>
      <c r="J15" s="104">
        <f t="shared" ref="J15:O15" si="6">J6-J12</f>
        <v>432323.00839877315</v>
      </c>
      <c r="K15" s="104">
        <f t="shared" si="6"/>
        <v>506407.8092386499</v>
      </c>
      <c r="L15" s="104">
        <f t="shared" si="6"/>
        <v>590215.02766251564</v>
      </c>
      <c r="M15" s="104">
        <f t="shared" si="6"/>
        <v>684890.45074126683</v>
      </c>
      <c r="N15" s="104">
        <f t="shared" si="6"/>
        <v>791707.4601513315</v>
      </c>
      <c r="O15" s="105">
        <f t="shared" si="6"/>
        <v>912080.76782759652</v>
      </c>
      <c r="P15" s="65"/>
    </row>
    <row r="16" spans="1:16" ht="18.5" x14ac:dyDescent="0.45">
      <c r="B16" s="65"/>
      <c r="C16" s="74" t="s">
        <v>3</v>
      </c>
      <c r="D16" s="103">
        <v>-83890</v>
      </c>
      <c r="E16" s="103">
        <v>-51370</v>
      </c>
      <c r="F16" s="103">
        <v>158040</v>
      </c>
      <c r="G16" s="103">
        <v>-3090</v>
      </c>
      <c r="H16" s="103">
        <v>-106930</v>
      </c>
      <c r="I16" s="104"/>
      <c r="J16" s="104">
        <f>J15*ASSUMPTIONS!$D$13</f>
        <v>43232.300839877316</v>
      </c>
      <c r="K16" s="104">
        <f>K15*ASSUMPTIONS!$D$13</f>
        <v>50640.780923864993</v>
      </c>
      <c r="L16" s="104">
        <f>L15*ASSUMPTIONS!$D$13</f>
        <v>59021.502766251564</v>
      </c>
      <c r="M16" s="104">
        <f>M15*ASSUMPTIONS!$D$13</f>
        <v>68489.045074126683</v>
      </c>
      <c r="N16" s="104">
        <f>N15*ASSUMPTIONS!$D$13</f>
        <v>79170.746015133162</v>
      </c>
      <c r="O16" s="105">
        <f>O15*ASSUMPTIONS!$D$13</f>
        <v>91208.076782759657</v>
      </c>
      <c r="P16" s="65"/>
    </row>
    <row r="17" spans="2:16" ht="18.5" x14ac:dyDescent="0.45">
      <c r="B17" s="65"/>
      <c r="C17" s="82" t="s">
        <v>47</v>
      </c>
      <c r="D17" s="78">
        <f t="shared" ref="D17:H17" si="7">D16/D15</f>
        <v>-0.18040860215053764</v>
      </c>
      <c r="E17" s="78">
        <f t="shared" si="7"/>
        <v>-0.12907035175879397</v>
      </c>
      <c r="F17" s="78">
        <f t="shared" si="7"/>
        <v>-0.24239263803680983</v>
      </c>
      <c r="G17" s="78">
        <f t="shared" si="7"/>
        <v>-1.0957446808510638E-2</v>
      </c>
      <c r="H17" s="78">
        <f t="shared" si="7"/>
        <v>-0.1316871921182266</v>
      </c>
      <c r="I17" s="79">
        <v>0.1</v>
      </c>
      <c r="J17" s="75"/>
      <c r="K17" s="75"/>
      <c r="L17" s="75"/>
      <c r="M17" s="75"/>
      <c r="N17" s="75"/>
      <c r="O17" s="76"/>
      <c r="P17" s="65"/>
    </row>
    <row r="18" spans="2:16" ht="18.5" x14ac:dyDescent="0.45">
      <c r="B18" s="238"/>
      <c r="C18" s="8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238"/>
      <c r="O18" s="80"/>
    </row>
    <row r="19" spans="2:16" ht="18.5" x14ac:dyDescent="0.45">
      <c r="B19" s="65"/>
      <c r="C19" s="74" t="s">
        <v>5</v>
      </c>
      <c r="D19" s="103"/>
      <c r="E19" s="103"/>
      <c r="F19" s="103"/>
      <c r="G19" s="103"/>
      <c r="H19" s="103"/>
      <c r="I19" s="106"/>
      <c r="J19" s="104">
        <f>H19*(1+$I$13)</f>
        <v>0</v>
      </c>
      <c r="K19" s="104">
        <f t="shared" ref="K19:O20" si="8">J19*(1+$I$13)</f>
        <v>0</v>
      </c>
      <c r="L19" s="104">
        <f t="shared" si="8"/>
        <v>0</v>
      </c>
      <c r="M19" s="104">
        <f t="shared" si="8"/>
        <v>0</v>
      </c>
      <c r="N19" s="104">
        <f t="shared" si="8"/>
        <v>0</v>
      </c>
      <c r="O19" s="105">
        <f t="shared" si="8"/>
        <v>0</v>
      </c>
      <c r="P19" s="65"/>
    </row>
    <row r="20" spans="2:16" ht="18.5" x14ac:dyDescent="0.45">
      <c r="B20" s="65"/>
      <c r="C20" s="74" t="s">
        <v>6</v>
      </c>
      <c r="D20" s="103"/>
      <c r="E20" s="103"/>
      <c r="F20" s="103"/>
      <c r="G20" s="103"/>
      <c r="H20" s="103"/>
      <c r="I20" s="106"/>
      <c r="J20" s="104">
        <f>H20*(1+$I$13)</f>
        <v>0</v>
      </c>
      <c r="K20" s="104">
        <f t="shared" si="8"/>
        <v>0</v>
      </c>
      <c r="L20" s="104">
        <f t="shared" si="8"/>
        <v>0</v>
      </c>
      <c r="M20" s="104">
        <f t="shared" si="8"/>
        <v>0</v>
      </c>
      <c r="N20" s="104">
        <f t="shared" si="8"/>
        <v>0</v>
      </c>
      <c r="O20" s="105">
        <f t="shared" si="8"/>
        <v>0</v>
      </c>
      <c r="P20" s="65"/>
    </row>
    <row r="21" spans="2:16" ht="19" thickBot="1" x14ac:dyDescent="0.5">
      <c r="B21" s="65"/>
      <c r="C21" s="83" t="s">
        <v>27</v>
      </c>
      <c r="D21" s="107"/>
      <c r="E21" s="107"/>
      <c r="F21" s="108"/>
      <c r="G21" s="109">
        <f>SCHEDULES!I28</f>
        <v>154000</v>
      </c>
      <c r="H21" s="109">
        <f>SCHEDULES!J28</f>
        <v>210000</v>
      </c>
      <c r="I21" s="109"/>
      <c r="J21" s="109">
        <f>SCHEDULES!K28</f>
        <v>88953.97063357383</v>
      </c>
      <c r="K21" s="110">
        <f>SCHEDULES!L28</f>
        <v>143195.39706335764</v>
      </c>
      <c r="L21" s="108">
        <f>SCHEDULES!M28</f>
        <v>157514.93676969258</v>
      </c>
      <c r="M21" s="108">
        <f>SCHEDULES!N28</f>
        <v>173266.43044666247</v>
      </c>
      <c r="N21" s="108">
        <f>SCHEDULES!O28</f>
        <v>190593.07349132886</v>
      </c>
      <c r="O21" s="111">
        <f>SCHEDULES!P28</f>
        <v>190593.07349132886</v>
      </c>
      <c r="P21" s="65"/>
    </row>
    <row r="22" spans="2:16" ht="19" thickBot="1" x14ac:dyDescent="0.5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2:16" ht="21.5" thickBot="1" x14ac:dyDescent="0.55000000000000004">
      <c r="B23" s="65"/>
      <c r="C23" s="208" t="s">
        <v>114</v>
      </c>
      <c r="D23" s="207" t="s">
        <v>81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2:16" ht="19" thickBot="1" x14ac:dyDescent="0.5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2:16" ht="18.5" x14ac:dyDescent="0.45">
      <c r="B25" s="65"/>
      <c r="C25" s="85" t="s">
        <v>70</v>
      </c>
      <c r="D25" s="100">
        <f>NPV(I32,J25:M25,N26)</f>
        <v>10249234.658781722</v>
      </c>
      <c r="E25" s="65"/>
      <c r="F25" s="65"/>
      <c r="G25" s="66"/>
      <c r="H25" s="68"/>
      <c r="I25" s="86" t="s">
        <v>7</v>
      </c>
      <c r="J25" s="231">
        <f>J15-J16+J19-J20-J21</f>
        <v>300136.73692532198</v>
      </c>
      <c r="K25" s="112">
        <f>K15-K16+K19-K20-K21</f>
        <v>312571.63125142729</v>
      </c>
      <c r="L25" s="112">
        <f t="shared" ref="L25:N25" si="9">L15-L16+L19-L20-L21</f>
        <v>373678.5881265715</v>
      </c>
      <c r="M25" s="112">
        <f t="shared" si="9"/>
        <v>443134.97522047767</v>
      </c>
      <c r="N25" s="112">
        <f t="shared" si="9"/>
        <v>521943.64064486953</v>
      </c>
      <c r="O25" s="232">
        <f>O15-O16+O19-O20-O21</f>
        <v>630279.61755350803</v>
      </c>
      <c r="P25" s="65"/>
    </row>
    <row r="26" spans="2:16" ht="18.5" x14ac:dyDescent="0.45">
      <c r="B26" s="65"/>
      <c r="C26" s="74" t="s">
        <v>9</v>
      </c>
      <c r="D26" s="115">
        <v>720257</v>
      </c>
      <c r="E26" s="65"/>
      <c r="F26" s="65"/>
      <c r="G26" s="101" t="s">
        <v>68</v>
      </c>
      <c r="H26" s="102"/>
      <c r="I26" s="102"/>
      <c r="J26" s="102"/>
      <c r="K26" s="102"/>
      <c r="L26" s="102"/>
      <c r="M26" s="102"/>
      <c r="N26" s="113">
        <f>N25+M33</f>
        <v>12716990.967110306</v>
      </c>
      <c r="O26" s="87"/>
      <c r="P26" s="65"/>
    </row>
    <row r="27" spans="2:16" ht="18.5" x14ac:dyDescent="0.45">
      <c r="B27" s="65"/>
      <c r="C27" s="74" t="s">
        <v>10</v>
      </c>
      <c r="D27" s="115">
        <v>4100000</v>
      </c>
      <c r="E27" s="65"/>
      <c r="F27" s="65"/>
      <c r="G27" s="81"/>
      <c r="H27" s="65"/>
      <c r="I27" s="65"/>
      <c r="J27" s="65"/>
      <c r="K27" s="65"/>
      <c r="L27" s="65"/>
      <c r="M27" s="65"/>
      <c r="N27" s="65"/>
      <c r="O27" s="80"/>
      <c r="P27" s="65"/>
    </row>
    <row r="28" spans="2:16" ht="18.5" x14ac:dyDescent="0.45">
      <c r="B28" s="65"/>
      <c r="C28" s="74" t="s">
        <v>11</v>
      </c>
      <c r="D28" s="116">
        <f>D25+D26-D27</f>
        <v>6869491.6587817222</v>
      </c>
      <c r="E28" s="65"/>
      <c r="F28" s="65"/>
      <c r="G28" s="81"/>
      <c r="H28" s="65"/>
      <c r="I28" s="65"/>
      <c r="J28" s="65"/>
      <c r="K28" s="65"/>
      <c r="L28" s="65"/>
      <c r="M28" s="65"/>
      <c r="N28" s="65"/>
      <c r="O28" s="80"/>
      <c r="P28" s="65"/>
    </row>
    <row r="29" spans="2:16" ht="18.5" x14ac:dyDescent="0.45">
      <c r="B29" s="65"/>
      <c r="C29" s="81" t="s">
        <v>12</v>
      </c>
      <c r="D29" s="117">
        <v>55389</v>
      </c>
      <c r="E29" s="65"/>
      <c r="F29" s="65"/>
      <c r="G29" s="81"/>
      <c r="H29" s="65"/>
      <c r="I29" s="65"/>
      <c r="J29" s="65"/>
      <c r="K29" s="65"/>
      <c r="L29" s="65"/>
      <c r="M29" s="65"/>
      <c r="N29" s="65"/>
      <c r="O29" s="80"/>
      <c r="P29" s="65"/>
    </row>
    <row r="30" spans="2:16" ht="18.5" x14ac:dyDescent="0.45">
      <c r="B30" s="65"/>
      <c r="C30" s="74" t="s">
        <v>121</v>
      </c>
      <c r="D30" s="89">
        <f>D28/D29</f>
        <v>124.02266982219795</v>
      </c>
      <c r="E30" s="65"/>
      <c r="F30" s="65"/>
      <c r="G30" s="81" t="s">
        <v>8</v>
      </c>
      <c r="I30" s="123">
        <f>ASSUMPTIONS!D14</f>
        <v>11.5</v>
      </c>
      <c r="K30" s="65" t="s">
        <v>43</v>
      </c>
      <c r="M30" s="99">
        <f>I30*O25</f>
        <v>7248215.6018653419</v>
      </c>
      <c r="N30" s="65"/>
      <c r="O30" s="80"/>
      <c r="P30" s="65"/>
    </row>
    <row r="31" spans="2:16" ht="18.5" x14ac:dyDescent="0.45">
      <c r="B31" s="65"/>
      <c r="C31" s="81" t="s">
        <v>22</v>
      </c>
      <c r="D31" s="88">
        <v>88.31</v>
      </c>
      <c r="E31" s="65"/>
      <c r="F31" s="65"/>
      <c r="G31" s="81" t="s">
        <v>45</v>
      </c>
      <c r="I31" s="210">
        <f>ASSUMPTIONS!D15</f>
        <v>0.02</v>
      </c>
      <c r="K31" s="65" t="s">
        <v>44</v>
      </c>
      <c r="M31" s="99">
        <f>O25/(I32-I31)</f>
        <v>12525728.307382295</v>
      </c>
      <c r="N31" s="65"/>
      <c r="O31" s="80"/>
      <c r="P31" s="65"/>
    </row>
    <row r="32" spans="2:16" ht="19" thickBot="1" x14ac:dyDescent="0.5">
      <c r="B32" s="65"/>
      <c r="C32" s="90" t="s">
        <v>23</v>
      </c>
      <c r="D32" s="91">
        <f>D30/D31-1</f>
        <v>0.40440119830367971</v>
      </c>
      <c r="E32" s="65"/>
      <c r="F32" s="65"/>
      <c r="G32" s="81" t="s">
        <v>18</v>
      </c>
      <c r="I32" s="97">
        <f>WACC!G17</f>
        <v>7.0318799999999987E-2</v>
      </c>
      <c r="K32" s="65"/>
      <c r="M32" s="65"/>
      <c r="N32" s="65"/>
      <c r="O32" s="80"/>
      <c r="P32" s="65"/>
    </row>
    <row r="33" spans="2:16" ht="19" thickBot="1" x14ac:dyDescent="0.5">
      <c r="B33" s="65"/>
      <c r="C33" s="65"/>
      <c r="D33" s="65"/>
      <c r="E33" s="94"/>
      <c r="F33" s="65"/>
      <c r="G33" s="92"/>
      <c r="H33" s="84"/>
      <c r="I33" s="84"/>
      <c r="J33" s="18"/>
      <c r="K33" s="84" t="s">
        <v>46</v>
      </c>
      <c r="L33" s="18"/>
      <c r="M33" s="234">
        <f>(M30*30+M31*80)/100</f>
        <v>12195047.326465437</v>
      </c>
      <c r="N33" s="84"/>
      <c r="O33" s="93"/>
      <c r="P33" s="65"/>
    </row>
    <row r="34" spans="2:16" ht="18.5" x14ac:dyDescent="0.45">
      <c r="B34" s="65"/>
      <c r="C34" s="65"/>
      <c r="D34" s="94"/>
      <c r="E34" s="65"/>
      <c r="F34" s="94"/>
      <c r="G34" s="94"/>
      <c r="H34" s="65"/>
      <c r="I34" s="65"/>
      <c r="J34" s="94"/>
      <c r="K34" s="94"/>
      <c r="L34" s="94"/>
      <c r="M34" s="94"/>
      <c r="N34" s="65"/>
      <c r="O34" s="65"/>
      <c r="P34" s="65"/>
    </row>
    <row r="35" spans="2:16" ht="18.5" x14ac:dyDescent="0.4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2:16" ht="18.5" x14ac:dyDescent="0.4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2:16" ht="18.5" x14ac:dyDescent="0.45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2:16" ht="18.5" x14ac:dyDescent="0.45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2:16" ht="18.5" x14ac:dyDescent="0.45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2:16" ht="18.5" x14ac:dyDescent="0.45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2:16" ht="18.5" x14ac:dyDescent="0.45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2:16" ht="18.5" x14ac:dyDescent="0.45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2:16" ht="18.5" x14ac:dyDescent="0.45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  <row r="44" spans="2:16" ht="18.5" x14ac:dyDescent="0.45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2:16" ht="18.5" x14ac:dyDescent="0.4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  <row r="46" spans="2:16" ht="18.5" x14ac:dyDescent="0.45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</row>
    <row r="47" spans="2:16" ht="18.5" x14ac:dyDescent="0.45">
      <c r="B47" s="65"/>
      <c r="C47" s="65"/>
      <c r="D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2:16" ht="18.5" x14ac:dyDescent="0.45"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</row>
    <row r="49" spans="3:10" ht="19" thickBot="1" x14ac:dyDescent="0.5">
      <c r="C49" s="65"/>
      <c r="D49" s="65"/>
      <c r="F49" s="65"/>
    </row>
    <row r="50" spans="3:10" ht="15" x14ac:dyDescent="0.4">
      <c r="C50" s="205" t="s">
        <v>115</v>
      </c>
      <c r="D50" s="202" t="s">
        <v>83</v>
      </c>
      <c r="E50" s="202" t="s">
        <v>79</v>
      </c>
      <c r="F50" s="203" t="s">
        <v>84</v>
      </c>
    </row>
    <row r="51" spans="3:10" ht="15" x14ac:dyDescent="0.4">
      <c r="C51" s="204" t="s">
        <v>77</v>
      </c>
      <c r="D51" s="228">
        <f>CCA!P35</f>
        <v>139.91</v>
      </c>
      <c r="E51" s="228">
        <f>CCA!P36</f>
        <v>147.05000000000001</v>
      </c>
      <c r="F51" s="229">
        <f>CCA!P37</f>
        <v>162.44999999999999</v>
      </c>
    </row>
    <row r="52" spans="3:10" ht="15.5" thickBot="1" x14ac:dyDescent="0.45">
      <c r="C52" s="201" t="s">
        <v>78</v>
      </c>
      <c r="D52" s="216">
        <v>67.846425170000003</v>
      </c>
      <c r="E52" s="216">
        <v>124.02</v>
      </c>
      <c r="F52" s="217">
        <v>194.71</v>
      </c>
    </row>
    <row r="56" spans="3:10" ht="17" x14ac:dyDescent="0.4">
      <c r="D56" s="8"/>
    </row>
    <row r="61" spans="3:10" ht="17" x14ac:dyDescent="0.4">
      <c r="J61" s="8"/>
    </row>
    <row r="65" spans="4:7" x14ac:dyDescent="0.35">
      <c r="E65" s="7"/>
    </row>
    <row r="66" spans="4:7" x14ac:dyDescent="0.35">
      <c r="D66" s="7"/>
      <c r="F66" s="4"/>
      <c r="G66" s="7"/>
    </row>
  </sheetData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E2471D-C2A2-445E-A71F-2ADD1E1CECE0}">
          <x14:formula1>
            <xm:f>ASSUMPTIONS!$F$9:$H$9</xm:f>
          </x14:formula1>
          <xm:sqref>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AC58-C5F9-4FD8-9B55-59F240130EB1}">
  <dimension ref="C6:H15"/>
  <sheetViews>
    <sheetView zoomScale="77" zoomScaleNormal="115" workbookViewId="0">
      <selection activeCell="H16" sqref="H16"/>
    </sheetView>
  </sheetViews>
  <sheetFormatPr defaultColWidth="16.7265625" defaultRowHeight="14.5" x14ac:dyDescent="0.35"/>
  <cols>
    <col min="3" max="3" width="54" customWidth="1"/>
  </cols>
  <sheetData>
    <row r="6" spans="3:8" ht="15" thickBot="1" x14ac:dyDescent="0.4"/>
    <row r="7" spans="3:8" ht="17.5" thickBot="1" x14ac:dyDescent="0.45">
      <c r="C7" s="51" t="s">
        <v>57</v>
      </c>
      <c r="D7" s="200" t="str">
        <f>DCF!D23</f>
        <v>BASE CASE</v>
      </c>
    </row>
    <row r="8" spans="3:8" ht="17.5" thickBot="1" x14ac:dyDescent="0.45">
      <c r="C8" s="17" t="s">
        <v>58</v>
      </c>
      <c r="D8" s="126">
        <f>DCF!I7</f>
        <v>9.7291941258124792E-2</v>
      </c>
    </row>
    <row r="9" spans="3:8" ht="16" thickBot="1" x14ac:dyDescent="0.4">
      <c r="C9" s="121" t="s">
        <v>72</v>
      </c>
      <c r="D9" s="215">
        <f>DCF!I10</f>
        <v>0.72355291831473578</v>
      </c>
      <c r="F9" s="141" t="s">
        <v>82</v>
      </c>
      <c r="G9" s="141" t="s">
        <v>81</v>
      </c>
      <c r="H9" s="140" t="s">
        <v>80</v>
      </c>
    </row>
    <row r="10" spans="3:8" ht="17" x14ac:dyDescent="0.4">
      <c r="C10" s="49" t="s">
        <v>59</v>
      </c>
      <c r="D10" s="137">
        <f>INDEX(F10:H10, MATCH(DCF!$D$23, F$9:H$9, 0))</f>
        <v>0.1</v>
      </c>
      <c r="F10" s="128">
        <v>7.0000000000000007E-2</v>
      </c>
      <c r="G10" s="129">
        <v>0.1</v>
      </c>
      <c r="H10" s="130">
        <v>0.12</v>
      </c>
    </row>
    <row r="11" spans="3:8" ht="17" x14ac:dyDescent="0.4">
      <c r="C11" s="17" t="s">
        <v>73</v>
      </c>
      <c r="D11" s="127">
        <f>DCF!I13</f>
        <v>5.8352155138243766E-2</v>
      </c>
      <c r="F11" s="142"/>
      <c r="G11" s="124"/>
      <c r="H11" s="125"/>
    </row>
    <row r="12" spans="3:8" ht="17" x14ac:dyDescent="0.4">
      <c r="C12" s="49" t="s">
        <v>74</v>
      </c>
      <c r="D12" s="137">
        <f>INDEX(F12:H12, MATCH(DCF!$D$23, F$9:H$9, 0))</f>
        <v>7.4999999999999997E-2</v>
      </c>
      <c r="F12" s="131">
        <v>0.06</v>
      </c>
      <c r="G12" s="131">
        <v>7.4999999999999997E-2</v>
      </c>
      <c r="H12" s="132">
        <v>0.09</v>
      </c>
    </row>
    <row r="13" spans="3:8" ht="17" x14ac:dyDescent="0.4">
      <c r="C13" s="49" t="s">
        <v>60</v>
      </c>
      <c r="D13" s="127">
        <f>DCF!I17</f>
        <v>0.1</v>
      </c>
      <c r="F13" s="124"/>
      <c r="G13" s="124"/>
      <c r="H13" s="125"/>
    </row>
    <row r="14" spans="3:8" ht="17" x14ac:dyDescent="0.4">
      <c r="C14" s="49" t="s">
        <v>61</v>
      </c>
      <c r="D14" s="138">
        <f>INDEX(F14:H14, MATCH(DCF!$D$23, F$9:H$9, 0))</f>
        <v>11.5</v>
      </c>
      <c r="F14" s="133">
        <v>10</v>
      </c>
      <c r="G14" s="133">
        <v>11.5</v>
      </c>
      <c r="H14" s="134">
        <v>12</v>
      </c>
    </row>
    <row r="15" spans="3:8" ht="17.5" thickBot="1" x14ac:dyDescent="0.45">
      <c r="C15" s="50" t="s">
        <v>62</v>
      </c>
      <c r="D15" s="139">
        <f>INDEX(F15:H15, MATCH(DCF!$D$23, F$9:H$9, 0))</f>
        <v>0.02</v>
      </c>
      <c r="F15" s="135">
        <v>1.4999999999999999E-2</v>
      </c>
      <c r="G15" s="135">
        <v>0.02</v>
      </c>
      <c r="H15" s="136">
        <v>3.2500000000000001E-2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B4:L19"/>
  <sheetViews>
    <sheetView topLeftCell="A4" workbookViewId="0">
      <selection activeCell="G19" sqref="G19"/>
    </sheetView>
  </sheetViews>
  <sheetFormatPr defaultRowHeight="14.5" x14ac:dyDescent="0.35"/>
  <cols>
    <col min="1" max="1" width="12.1796875" bestFit="1" customWidth="1"/>
    <col min="6" max="6" width="27.7265625" customWidth="1"/>
    <col min="7" max="7" width="16" customWidth="1"/>
  </cols>
  <sheetData>
    <row r="4" spans="2:12" x14ac:dyDescent="0.35">
      <c r="B4" s="5"/>
    </row>
    <row r="6" spans="2:12" ht="15" thickBot="1" x14ac:dyDescent="0.4"/>
    <row r="7" spans="2:12" x14ac:dyDescent="0.35">
      <c r="F7" s="52" t="s">
        <v>52</v>
      </c>
      <c r="G7" s="53"/>
    </row>
    <row r="8" spans="2:12" x14ac:dyDescent="0.35">
      <c r="F8" s="9" t="s">
        <v>13</v>
      </c>
      <c r="G8" s="59">
        <f>G11+(G10*G9)</f>
        <v>8.7497999999999992E-2</v>
      </c>
    </row>
    <row r="9" spans="2:12" x14ac:dyDescent="0.35">
      <c r="F9" s="10" t="s">
        <v>14</v>
      </c>
      <c r="G9" s="114">
        <v>4.3299999999999998E-2</v>
      </c>
    </row>
    <row r="10" spans="2:12" x14ac:dyDescent="0.35">
      <c r="F10" s="10" t="s">
        <v>15</v>
      </c>
      <c r="G10" s="11">
        <v>1.06</v>
      </c>
      <c r="K10" s="5"/>
      <c r="L10" s="3"/>
    </row>
    <row r="11" spans="2:12" x14ac:dyDescent="0.35">
      <c r="E11" s="2"/>
      <c r="F11" s="14" t="s">
        <v>16</v>
      </c>
      <c r="G11" s="15">
        <v>4.1599999999999998E-2</v>
      </c>
      <c r="K11" s="1"/>
    </row>
    <row r="12" spans="2:12" x14ac:dyDescent="0.35">
      <c r="E12" s="2"/>
      <c r="F12" s="10"/>
      <c r="G12" s="60"/>
    </row>
    <row r="13" spans="2:12" x14ac:dyDescent="0.35">
      <c r="E13" s="2"/>
      <c r="F13" s="16" t="s">
        <v>17</v>
      </c>
      <c r="G13" s="61">
        <f>G14*(1-G15)</f>
        <v>4.9500000000000002E-2</v>
      </c>
    </row>
    <row r="14" spans="2:12" x14ac:dyDescent="0.35">
      <c r="F14" s="10" t="s">
        <v>21</v>
      </c>
      <c r="G14" s="114">
        <v>5.5E-2</v>
      </c>
    </row>
    <row r="15" spans="2:12" x14ac:dyDescent="0.35">
      <c r="F15" s="14" t="s">
        <v>4</v>
      </c>
      <c r="G15" s="63">
        <f>ASSUMPTIONS!D13</f>
        <v>0.1</v>
      </c>
    </row>
    <row r="16" spans="2:12" x14ac:dyDescent="0.35">
      <c r="D16" s="6"/>
      <c r="F16" s="10"/>
      <c r="G16" s="96"/>
    </row>
    <row r="17" spans="6:7" x14ac:dyDescent="0.35">
      <c r="F17" s="16" t="s">
        <v>18</v>
      </c>
      <c r="G17" s="233">
        <f>(G18*G8)+(G19*G13)*(1-G15)</f>
        <v>7.0318799999999987E-2</v>
      </c>
    </row>
    <row r="18" spans="6:7" x14ac:dyDescent="0.35">
      <c r="F18" s="10" t="s">
        <v>19</v>
      </c>
      <c r="G18" s="62">
        <v>0.6</v>
      </c>
    </row>
    <row r="19" spans="6:7" ht="15" thickBot="1" x14ac:dyDescent="0.4">
      <c r="F19" s="13" t="s">
        <v>20</v>
      </c>
      <c r="G19" s="64">
        <f>1-G18</f>
        <v>0.4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AAAA-9EB6-4823-9579-2E718701566C}">
  <dimension ref="D2:R28"/>
  <sheetViews>
    <sheetView topLeftCell="B2" zoomScale="63" workbookViewId="0">
      <selection activeCell="L25" sqref="L25"/>
    </sheetView>
  </sheetViews>
  <sheetFormatPr defaultRowHeight="14.5" x14ac:dyDescent="0.35"/>
  <cols>
    <col min="4" max="16" width="13.7265625" customWidth="1"/>
    <col min="21" max="21" width="11.7265625" customWidth="1"/>
  </cols>
  <sheetData>
    <row r="2" spans="4:16" ht="15" thickBot="1" x14ac:dyDescent="0.4"/>
    <row r="3" spans="4:16" ht="15" customHeight="1" x14ac:dyDescent="0.35">
      <c r="D3" s="236" t="s">
        <v>50</v>
      </c>
      <c r="E3" s="237"/>
      <c r="F3" s="237"/>
      <c r="G3" s="19"/>
      <c r="H3" s="54" t="s">
        <v>41</v>
      </c>
      <c r="I3" s="54" t="s">
        <v>42</v>
      </c>
      <c r="J3" s="54" t="s">
        <v>65</v>
      </c>
      <c r="K3" s="54" t="s">
        <v>120</v>
      </c>
      <c r="L3" s="54" t="s">
        <v>39</v>
      </c>
      <c r="M3" s="54" t="s">
        <v>40</v>
      </c>
      <c r="N3" s="54" t="s">
        <v>66</v>
      </c>
      <c r="O3" s="54" t="s">
        <v>67</v>
      </c>
      <c r="P3" s="55" t="s">
        <v>51</v>
      </c>
    </row>
    <row r="4" spans="4:16" ht="20.5" x14ac:dyDescent="0.4">
      <c r="D4" s="27"/>
      <c r="E4" s="20"/>
      <c r="F4" s="21"/>
      <c r="G4" s="21"/>
      <c r="H4" s="21"/>
      <c r="I4" s="21"/>
      <c r="J4" s="21"/>
      <c r="K4" s="22"/>
      <c r="L4" s="22"/>
      <c r="M4" s="22"/>
      <c r="N4" s="22"/>
      <c r="O4" s="22"/>
      <c r="P4" s="12"/>
    </row>
    <row r="5" spans="4:16" ht="15" x14ac:dyDescent="0.4">
      <c r="D5" s="28" t="s">
        <v>29</v>
      </c>
      <c r="E5" s="23"/>
      <c r="F5" s="24"/>
      <c r="G5" s="25"/>
      <c r="H5" s="46">
        <v>365</v>
      </c>
      <c r="I5" s="46">
        <v>365</v>
      </c>
      <c r="J5" s="46">
        <v>365</v>
      </c>
      <c r="K5" s="46">
        <v>365</v>
      </c>
      <c r="L5" s="46">
        <v>365</v>
      </c>
      <c r="M5" s="46">
        <v>365</v>
      </c>
      <c r="N5" s="46">
        <v>365</v>
      </c>
      <c r="O5" s="46">
        <v>365</v>
      </c>
      <c r="P5" s="12"/>
    </row>
    <row r="6" spans="4:16" ht="15" x14ac:dyDescent="0.4">
      <c r="D6" s="28" t="s">
        <v>30</v>
      </c>
      <c r="E6" s="25"/>
      <c r="F6" s="25"/>
      <c r="G6" s="25"/>
      <c r="H6" s="212">
        <f>DCF!F6</f>
        <v>3640000</v>
      </c>
      <c r="I6" s="211">
        <f>DCF!G6</f>
        <v>4630000</v>
      </c>
      <c r="J6" s="211">
        <f>DCF!H6</f>
        <v>5480000</v>
      </c>
      <c r="K6" s="41">
        <f>DCF!J6</f>
        <v>6028000.0000000009</v>
      </c>
      <c r="L6" s="26">
        <f>DCF!K6</f>
        <v>6630800.0000000009</v>
      </c>
      <c r="M6" s="26">
        <f>DCF!L6</f>
        <v>7293880.0000000009</v>
      </c>
      <c r="N6" s="26">
        <f>DCF!M6</f>
        <v>8023268.0000000009</v>
      </c>
      <c r="O6" s="26">
        <f>DCF!N6</f>
        <v>8825594.8000000007</v>
      </c>
      <c r="P6" s="12"/>
    </row>
    <row r="7" spans="4:16" ht="15" x14ac:dyDescent="0.4">
      <c r="D7" s="28" t="s">
        <v>2</v>
      </c>
      <c r="E7" s="25"/>
      <c r="F7" s="25"/>
      <c r="G7" s="25"/>
      <c r="H7" s="95">
        <f>DCF!F9</f>
        <v>3360000</v>
      </c>
      <c r="I7" s="39">
        <f>DCF!G9</f>
        <v>3360000</v>
      </c>
      <c r="J7" s="39">
        <f>DCF!H9</f>
        <v>3520000</v>
      </c>
      <c r="K7" s="41">
        <f>DCF!J9</f>
        <v>4361576.9916012278</v>
      </c>
      <c r="L7" s="26">
        <f>DCF!K9</f>
        <v>4797734.690761351</v>
      </c>
      <c r="M7" s="26">
        <f>DCF!L9</f>
        <v>5277508.1598374853</v>
      </c>
      <c r="N7" s="26">
        <f>DCF!M9</f>
        <v>5805258.9758212343</v>
      </c>
      <c r="O7" s="47">
        <f>DCF!N9</f>
        <v>6385784.8734033573</v>
      </c>
      <c r="P7" s="12"/>
    </row>
    <row r="8" spans="4:16" ht="16.5" x14ac:dyDescent="0.45">
      <c r="D8" s="29"/>
      <c r="E8" s="30"/>
      <c r="F8" s="25"/>
      <c r="G8" s="25"/>
      <c r="H8" s="25"/>
      <c r="I8" s="25"/>
      <c r="J8" s="25"/>
      <c r="K8" s="31"/>
      <c r="L8" s="31"/>
      <c r="M8" s="31"/>
      <c r="N8" s="31"/>
      <c r="O8" s="31"/>
      <c r="P8" s="12"/>
    </row>
    <row r="9" spans="4:16" ht="16.5" x14ac:dyDescent="0.45">
      <c r="D9" s="29"/>
      <c r="E9" s="30"/>
      <c r="F9" s="25"/>
      <c r="G9" s="25"/>
      <c r="H9" s="25"/>
      <c r="I9" s="25"/>
      <c r="J9" s="25"/>
      <c r="K9" s="31"/>
      <c r="L9" s="31"/>
      <c r="M9" s="31"/>
      <c r="N9" s="31"/>
      <c r="O9" s="31"/>
      <c r="P9" s="12"/>
    </row>
    <row r="10" spans="4:16" ht="15" x14ac:dyDescent="0.4">
      <c r="D10" s="32" t="s">
        <v>31</v>
      </c>
      <c r="E10" s="30"/>
      <c r="F10" s="25"/>
      <c r="G10" s="25"/>
      <c r="H10" s="25"/>
      <c r="I10" s="25"/>
      <c r="J10" s="25"/>
      <c r="K10" s="31"/>
      <c r="L10" s="31"/>
      <c r="M10" s="31"/>
      <c r="N10" s="31"/>
      <c r="O10" s="31"/>
      <c r="P10" s="12"/>
    </row>
    <row r="11" spans="4:16" ht="15" x14ac:dyDescent="0.4">
      <c r="D11" s="33" t="s">
        <v>32</v>
      </c>
      <c r="E11" s="25"/>
      <c r="F11" s="24" t="s">
        <v>33</v>
      </c>
      <c r="G11" s="24"/>
      <c r="H11" s="34">
        <f>SCHEDULES!H17/SCHEDULES!H6*SCHEDULES!H5</f>
        <v>57.256868131868131</v>
      </c>
      <c r="I11" s="34">
        <f>SCHEDULES!I17/SCHEDULES!I6*SCHEDULES!I5</f>
        <v>47.852051835853132</v>
      </c>
      <c r="J11" s="34">
        <f>SCHEDULES!J17/SCHEDULES!J6*SCHEDULES!J5</f>
        <v>46.424270072992705</v>
      </c>
      <c r="K11" s="34">
        <f>AVERAGE(H11:J11)</f>
        <v>50.511063346904656</v>
      </c>
      <c r="L11" s="34">
        <f>$K$11</f>
        <v>50.511063346904656</v>
      </c>
      <c r="M11" s="34">
        <f t="shared" ref="M11:O11" si="0">$K$11</f>
        <v>50.511063346904656</v>
      </c>
      <c r="N11" s="34">
        <f t="shared" si="0"/>
        <v>50.511063346904656</v>
      </c>
      <c r="O11" s="34">
        <f t="shared" si="0"/>
        <v>50.511063346904656</v>
      </c>
      <c r="P11" s="12"/>
    </row>
    <row r="12" spans="4:16" ht="15" x14ac:dyDescent="0.4">
      <c r="D12" s="33" t="s">
        <v>34</v>
      </c>
      <c r="E12" s="25"/>
      <c r="F12" s="24" t="s">
        <v>33</v>
      </c>
      <c r="G12" s="24"/>
      <c r="H12" s="34">
        <f>(H18/H7)*H5</f>
        <v>0</v>
      </c>
      <c r="I12" s="34">
        <f t="shared" ref="I12:J12" si="1">(I18/I7)*I5</f>
        <v>0</v>
      </c>
      <c r="J12" s="34">
        <f t="shared" si="1"/>
        <v>0</v>
      </c>
      <c r="K12" s="34">
        <f t="shared" ref="K12:K13" si="2">AVERAGE(H12:J12)</f>
        <v>0</v>
      </c>
      <c r="L12" s="34">
        <f>$K$12</f>
        <v>0</v>
      </c>
      <c r="M12" s="34">
        <f t="shared" ref="M12:O12" si="3">$K$12</f>
        <v>0</v>
      </c>
      <c r="N12" s="34">
        <f t="shared" si="3"/>
        <v>0</v>
      </c>
      <c r="O12" s="34">
        <f t="shared" si="3"/>
        <v>0</v>
      </c>
      <c r="P12" s="12"/>
    </row>
    <row r="13" spans="4:16" ht="15" x14ac:dyDescent="0.4">
      <c r="D13" s="33" t="s">
        <v>35</v>
      </c>
      <c r="E13" s="25"/>
      <c r="F13" s="24" t="s">
        <v>33</v>
      </c>
      <c r="G13" s="24"/>
      <c r="H13" s="34">
        <f>(H19/H7)*H5</f>
        <v>168.3779761904762</v>
      </c>
      <c r="I13" s="34">
        <f t="shared" ref="I13:J13" si="4">(I19/I7)*I5</f>
        <v>189.01785714285717</v>
      </c>
      <c r="J13" s="34">
        <f t="shared" si="4"/>
        <v>211.53409090909093</v>
      </c>
      <c r="K13" s="34">
        <f t="shared" si="2"/>
        <v>189.64330808080808</v>
      </c>
      <c r="L13" s="34">
        <f>$K$13</f>
        <v>189.64330808080808</v>
      </c>
      <c r="M13" s="118">
        <f t="shared" ref="M13:O13" si="5">$K$13</f>
        <v>189.64330808080808</v>
      </c>
      <c r="N13" s="34">
        <f t="shared" si="5"/>
        <v>189.64330808080808</v>
      </c>
      <c r="O13" s="34">
        <f t="shared" si="5"/>
        <v>189.64330808080808</v>
      </c>
      <c r="P13" s="12"/>
    </row>
    <row r="14" spans="4:16" ht="16.5" x14ac:dyDescent="0.45">
      <c r="D14" s="29"/>
      <c r="E14" s="25"/>
      <c r="F14" s="35"/>
      <c r="G14" s="35"/>
      <c r="H14" s="36"/>
      <c r="I14" s="37"/>
      <c r="J14" s="37"/>
      <c r="K14" s="38"/>
      <c r="L14" s="38"/>
      <c r="M14" s="38"/>
      <c r="N14" s="38"/>
      <c r="O14" s="38"/>
      <c r="P14" s="12"/>
    </row>
    <row r="15" spans="4:16" ht="16.5" x14ac:dyDescent="0.45">
      <c r="D15" s="29"/>
      <c r="E15" s="25"/>
      <c r="F15" s="35"/>
      <c r="G15" s="35"/>
      <c r="H15" s="36"/>
      <c r="I15" s="37"/>
      <c r="J15" s="37"/>
      <c r="K15" s="38"/>
      <c r="L15" s="38"/>
      <c r="M15" s="38"/>
      <c r="N15" s="38"/>
      <c r="O15" s="38"/>
      <c r="P15" s="12"/>
    </row>
    <row r="16" spans="4:16" ht="15" x14ac:dyDescent="0.4">
      <c r="D16" s="32" t="s">
        <v>36</v>
      </c>
      <c r="E16" s="30"/>
      <c r="F16" s="25"/>
      <c r="G16" s="25"/>
      <c r="H16" s="25"/>
      <c r="I16" s="25"/>
      <c r="J16" s="25"/>
      <c r="K16" s="31"/>
      <c r="L16" s="31"/>
      <c r="M16" s="31"/>
      <c r="N16" s="31"/>
      <c r="O16" s="31"/>
      <c r="P16" s="12"/>
    </row>
    <row r="17" spans="4:18" ht="15" x14ac:dyDescent="0.4">
      <c r="D17" s="33" t="s">
        <v>32</v>
      </c>
      <c r="E17" s="25"/>
      <c r="F17" s="25"/>
      <c r="G17" s="39"/>
      <c r="H17" s="39">
        <v>571000</v>
      </c>
      <c r="I17" s="39">
        <v>607000</v>
      </c>
      <c r="J17" s="39">
        <v>697000</v>
      </c>
      <c r="K17" s="40">
        <f>(K11/K5)*K6</f>
        <v>834193.6708360035</v>
      </c>
      <c r="L17" s="41">
        <f t="shared" ref="L17:O17" si="6">(L11/L5)*L6</f>
        <v>917613.03791960387</v>
      </c>
      <c r="M17" s="41">
        <f t="shared" si="6"/>
        <v>1009374.3417115642</v>
      </c>
      <c r="N17" s="41">
        <f t="shared" si="6"/>
        <v>1110311.7758827207</v>
      </c>
      <c r="O17" s="41">
        <f t="shared" si="6"/>
        <v>1221342.9534709926</v>
      </c>
      <c r="P17" s="12"/>
    </row>
    <row r="18" spans="4:18" ht="15" x14ac:dyDescent="0.4">
      <c r="D18" s="33" t="s">
        <v>34</v>
      </c>
      <c r="E18" s="25"/>
      <c r="F18" s="25"/>
      <c r="G18" s="39"/>
      <c r="H18" s="39">
        <v>0</v>
      </c>
      <c r="I18" s="39">
        <v>0</v>
      </c>
      <c r="J18" s="39">
        <v>0</v>
      </c>
      <c r="K18" s="119">
        <f>(K12/K5)*K7</f>
        <v>0</v>
      </c>
      <c r="L18" s="41">
        <f t="shared" ref="L18:O18" si="7">(L12/L5)*L7</f>
        <v>0</v>
      </c>
      <c r="M18" s="41">
        <f t="shared" si="7"/>
        <v>0</v>
      </c>
      <c r="N18" s="41">
        <f t="shared" si="7"/>
        <v>0</v>
      </c>
      <c r="O18" s="41">
        <f t="shared" si="7"/>
        <v>0</v>
      </c>
      <c r="P18" s="12"/>
    </row>
    <row r="19" spans="4:18" ht="15" x14ac:dyDescent="0.4">
      <c r="D19" s="33" t="s">
        <v>35</v>
      </c>
      <c r="E19" s="25"/>
      <c r="F19" s="25"/>
      <c r="G19" s="39"/>
      <c r="H19" s="39">
        <v>1550000</v>
      </c>
      <c r="I19" s="39">
        <v>1740000</v>
      </c>
      <c r="J19" s="39">
        <v>2040000</v>
      </c>
      <c r="K19" s="40">
        <f>(K13/K5)*K7</f>
        <v>2266147.6414695773</v>
      </c>
      <c r="L19" s="41">
        <f t="shared" ref="L19:O19" si="8">(L13/L5)*L7</f>
        <v>2492762.4056165353</v>
      </c>
      <c r="M19" s="41">
        <f t="shared" si="8"/>
        <v>2742038.6461781883</v>
      </c>
      <c r="N19" s="41">
        <f t="shared" si="8"/>
        <v>3016242.5107960072</v>
      </c>
      <c r="O19" s="41">
        <f t="shared" si="8"/>
        <v>3317866.761875608</v>
      </c>
      <c r="P19" s="12"/>
    </row>
    <row r="20" spans="4:18" ht="16.5" x14ac:dyDescent="0.45">
      <c r="D20" s="29"/>
      <c r="E20" s="30"/>
      <c r="F20" s="25"/>
      <c r="G20" s="25"/>
      <c r="H20" s="25"/>
      <c r="I20" s="25"/>
      <c r="J20" s="25"/>
      <c r="K20" s="31"/>
      <c r="L20" s="31"/>
      <c r="M20" s="31"/>
      <c r="N20" s="31"/>
      <c r="O20" s="31"/>
      <c r="P20" s="12"/>
    </row>
    <row r="21" spans="4:18" ht="16.5" x14ac:dyDescent="0.45">
      <c r="D21" s="29"/>
      <c r="E21" s="30"/>
      <c r="F21" s="25"/>
      <c r="G21" s="25"/>
      <c r="H21" s="25"/>
      <c r="I21" s="25"/>
      <c r="J21" s="25"/>
      <c r="K21" s="31"/>
      <c r="L21" s="31"/>
      <c r="M21" s="31"/>
      <c r="N21" s="31"/>
      <c r="O21" s="31"/>
      <c r="P21" s="12"/>
      <c r="R21" s="120"/>
    </row>
    <row r="22" spans="4:18" ht="16.5" x14ac:dyDescent="0.45">
      <c r="D22" s="29"/>
      <c r="E22" s="30"/>
      <c r="F22" s="25"/>
      <c r="G22" s="25"/>
      <c r="H22" s="25"/>
      <c r="I22" s="25"/>
      <c r="J22" s="25"/>
      <c r="K22" s="31"/>
      <c r="L22" s="31"/>
      <c r="M22" s="31"/>
      <c r="N22" s="31"/>
      <c r="O22" s="31"/>
      <c r="P22" s="12"/>
    </row>
    <row r="23" spans="4:18" ht="16.5" x14ac:dyDescent="0.45">
      <c r="D23" s="29"/>
      <c r="E23" s="30"/>
      <c r="F23" s="25"/>
      <c r="G23" s="25"/>
      <c r="H23" s="25"/>
      <c r="I23" s="25"/>
      <c r="J23" s="25"/>
      <c r="K23" s="31"/>
      <c r="L23" s="31"/>
      <c r="M23" s="31"/>
      <c r="N23" s="31"/>
      <c r="O23" s="31"/>
      <c r="P23" s="12"/>
    </row>
    <row r="24" spans="4:18" ht="15" x14ac:dyDescent="0.4">
      <c r="D24" s="32" t="s">
        <v>37</v>
      </c>
      <c r="E24" s="30"/>
      <c r="F24" s="25"/>
      <c r="G24" s="25"/>
      <c r="H24" s="25"/>
      <c r="I24" s="42"/>
      <c r="J24" s="42"/>
      <c r="K24" s="42"/>
      <c r="L24" s="42"/>
      <c r="M24" s="42"/>
      <c r="N24" s="42"/>
      <c r="O24" s="42"/>
      <c r="P24" s="12"/>
    </row>
    <row r="25" spans="4:18" ht="15" x14ac:dyDescent="0.4">
      <c r="D25" s="33" t="s">
        <v>32</v>
      </c>
      <c r="E25" s="25"/>
      <c r="F25" s="25"/>
      <c r="G25" s="25"/>
      <c r="H25" s="43"/>
      <c r="I25" s="26">
        <f t="shared" ref="I25:O26" si="9">H17-I17</f>
        <v>-36000</v>
      </c>
      <c r="J25" s="26">
        <f t="shared" si="9"/>
        <v>-90000</v>
      </c>
      <c r="K25" s="26">
        <f t="shared" si="9"/>
        <v>-137193.6708360035</v>
      </c>
      <c r="L25" s="26">
        <f t="shared" si="9"/>
        <v>-83419.367083600373</v>
      </c>
      <c r="M25" s="26">
        <f t="shared" si="9"/>
        <v>-91761.303791960352</v>
      </c>
      <c r="N25" s="26">
        <f t="shared" si="9"/>
        <v>-100937.43417115649</v>
      </c>
      <c r="O25" s="26">
        <f t="shared" si="9"/>
        <v>-111031.17758827191</v>
      </c>
      <c r="P25" s="12"/>
    </row>
    <row r="26" spans="4:18" ht="15" x14ac:dyDescent="0.4">
      <c r="D26" s="33" t="s">
        <v>34</v>
      </c>
      <c r="E26" s="25"/>
      <c r="F26" s="25"/>
      <c r="G26" s="25"/>
      <c r="H26" s="43"/>
      <c r="I26" s="26">
        <f t="shared" si="9"/>
        <v>0</v>
      </c>
      <c r="J26" s="26">
        <f t="shared" si="9"/>
        <v>0</v>
      </c>
      <c r="K26" s="26">
        <f>J18-K18</f>
        <v>0</v>
      </c>
      <c r="L26" s="26">
        <f>K18-L18</f>
        <v>0</v>
      </c>
      <c r="M26" s="26">
        <f>L18-M18</f>
        <v>0</v>
      </c>
      <c r="N26" s="26">
        <f>M18-N18</f>
        <v>0</v>
      </c>
      <c r="O26" s="26">
        <f t="shared" si="9"/>
        <v>0</v>
      </c>
      <c r="P26" s="12"/>
    </row>
    <row r="27" spans="4:18" ht="15" x14ac:dyDescent="0.4">
      <c r="D27" s="33" t="s">
        <v>35</v>
      </c>
      <c r="E27" s="25"/>
      <c r="F27" s="25"/>
      <c r="G27" s="25"/>
      <c r="H27" s="43"/>
      <c r="I27" s="26">
        <f>I19-H19</f>
        <v>190000</v>
      </c>
      <c r="J27" s="26">
        <f t="shared" ref="J27:O27" si="10">J19-I19</f>
        <v>300000</v>
      </c>
      <c r="K27" s="26">
        <f t="shared" si="10"/>
        <v>226147.64146957733</v>
      </c>
      <c r="L27" s="26">
        <f t="shared" si="10"/>
        <v>226614.76414695801</v>
      </c>
      <c r="M27" s="26">
        <f t="shared" si="10"/>
        <v>249276.24056165293</v>
      </c>
      <c r="N27" s="26">
        <f t="shared" si="10"/>
        <v>274203.86461781897</v>
      </c>
      <c r="O27" s="26">
        <f t="shared" si="10"/>
        <v>301624.25107960077</v>
      </c>
      <c r="P27" s="12"/>
    </row>
    <row r="28" spans="4:18" ht="15.5" thickBot="1" x14ac:dyDescent="0.45">
      <c r="D28" s="44" t="s">
        <v>38</v>
      </c>
      <c r="E28" s="45"/>
      <c r="F28" s="45"/>
      <c r="G28" s="45"/>
      <c r="H28" s="45"/>
      <c r="I28" s="48">
        <f>SUM(I25:I27)</f>
        <v>154000</v>
      </c>
      <c r="J28" s="48">
        <f t="shared" ref="J28:O28" si="11">SUM(J25:J27)</f>
        <v>210000</v>
      </c>
      <c r="K28" s="48">
        <f t="shared" si="11"/>
        <v>88953.97063357383</v>
      </c>
      <c r="L28" s="48">
        <f t="shared" si="11"/>
        <v>143195.39706335764</v>
      </c>
      <c r="M28" s="48">
        <f t="shared" si="11"/>
        <v>157514.93676969258</v>
      </c>
      <c r="N28" s="48">
        <f t="shared" si="11"/>
        <v>173266.43044666247</v>
      </c>
      <c r="O28" s="48">
        <f t="shared" si="11"/>
        <v>190593.07349132886</v>
      </c>
      <c r="P28" s="214">
        <f>O28</f>
        <v>190593.07349132886</v>
      </c>
    </row>
  </sheetData>
  <mergeCells count="1">
    <mergeCell ref="D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B3:P37"/>
  <sheetViews>
    <sheetView zoomScale="40" zoomScaleNormal="55" workbookViewId="0">
      <selection activeCell="M24" sqref="M24"/>
    </sheetView>
  </sheetViews>
  <sheetFormatPr defaultColWidth="15.7265625" defaultRowHeight="14.5" x14ac:dyDescent="0.35"/>
  <cols>
    <col min="1" max="1" width="20.7265625" customWidth="1"/>
    <col min="2" max="2" width="28.54296875" customWidth="1"/>
    <col min="4" max="4" width="16.453125" customWidth="1"/>
    <col min="5" max="5" width="18.54296875" bestFit="1" customWidth="1"/>
    <col min="6" max="6" width="21.26953125" customWidth="1"/>
    <col min="7" max="7" width="21.6328125" customWidth="1"/>
    <col min="8" max="8" width="22.453125" customWidth="1"/>
    <col min="10" max="10" width="21.6328125" customWidth="1"/>
    <col min="11" max="11" width="15.81640625" bestFit="1" customWidth="1"/>
    <col min="12" max="12" width="22.81640625" customWidth="1"/>
    <col min="14" max="14" width="21.453125" customWidth="1"/>
    <col min="15" max="15" width="20.81640625" customWidth="1"/>
    <col min="16" max="16" width="20.36328125" bestFit="1" customWidth="1"/>
  </cols>
  <sheetData>
    <row r="3" spans="2:16" ht="15" thickBot="1" x14ac:dyDescent="0.4"/>
    <row r="4" spans="2:16" ht="23.5" x14ac:dyDescent="0.55000000000000004">
      <c r="B4" s="182" t="s">
        <v>103</v>
      </c>
      <c r="C4" s="183"/>
      <c r="D4" s="183"/>
      <c r="E4" s="19" t="s">
        <v>105</v>
      </c>
      <c r="F4" s="143"/>
      <c r="G4" s="143"/>
      <c r="H4" s="143"/>
      <c r="I4" s="144"/>
      <c r="J4" s="143"/>
      <c r="K4" s="143"/>
      <c r="L4" s="143"/>
      <c r="M4" s="143"/>
      <c r="N4" s="143"/>
      <c r="O4" s="143"/>
      <c r="P4" s="145"/>
    </row>
    <row r="5" spans="2:16" x14ac:dyDescent="0.35">
      <c r="B5" s="146"/>
      <c r="P5" s="147"/>
    </row>
    <row r="6" spans="2:16" ht="15.5" x14ac:dyDescent="0.35">
      <c r="B6" s="148"/>
      <c r="C6" s="149"/>
      <c r="D6" s="186" t="s">
        <v>102</v>
      </c>
      <c r="E6" s="187"/>
      <c r="F6" s="187"/>
      <c r="G6" s="187"/>
      <c r="H6" s="187"/>
      <c r="I6" s="149"/>
      <c r="J6" s="186" t="s">
        <v>101</v>
      </c>
      <c r="K6" s="187"/>
      <c r="L6" s="187"/>
      <c r="M6" s="149"/>
      <c r="N6" s="186" t="s">
        <v>100</v>
      </c>
      <c r="O6" s="187"/>
      <c r="P6" s="188"/>
    </row>
    <row r="7" spans="2:16" ht="31" x14ac:dyDescent="0.35">
      <c r="B7" s="150" t="s">
        <v>99</v>
      </c>
      <c r="C7" s="151" t="s">
        <v>98</v>
      </c>
      <c r="D7" s="152" t="s">
        <v>97</v>
      </c>
      <c r="E7" s="152" t="s">
        <v>86</v>
      </c>
      <c r="F7" s="152" t="s">
        <v>96</v>
      </c>
      <c r="G7" s="152" t="s">
        <v>88</v>
      </c>
      <c r="H7" s="152" t="s">
        <v>95</v>
      </c>
      <c r="I7" s="153"/>
      <c r="J7" s="153" t="s">
        <v>30</v>
      </c>
      <c r="K7" s="153" t="s">
        <v>24</v>
      </c>
      <c r="L7" s="153" t="s">
        <v>94</v>
      </c>
      <c r="M7" s="153"/>
      <c r="N7" s="153" t="s">
        <v>90</v>
      </c>
      <c r="O7" s="153" t="s">
        <v>25</v>
      </c>
      <c r="P7" s="154" t="s">
        <v>26</v>
      </c>
    </row>
    <row r="8" spans="2:16" ht="15.5" x14ac:dyDescent="0.35">
      <c r="B8" s="155"/>
      <c r="C8" s="156"/>
      <c r="D8" s="157"/>
      <c r="E8" s="157"/>
      <c r="F8" s="157"/>
      <c r="G8" s="157"/>
      <c r="H8" s="157"/>
      <c r="I8" s="158"/>
      <c r="J8" s="158"/>
      <c r="K8" s="158"/>
      <c r="L8" s="158"/>
      <c r="M8" s="158"/>
      <c r="N8" s="184"/>
      <c r="O8" s="158"/>
      <c r="P8" s="159"/>
    </row>
    <row r="9" spans="2:16" ht="18.5" x14ac:dyDescent="0.45">
      <c r="B9" s="160" t="s">
        <v>124</v>
      </c>
      <c r="C9" s="161" t="s">
        <v>135</v>
      </c>
      <c r="D9" s="219">
        <v>83.81</v>
      </c>
      <c r="E9" s="235">
        <v>55389000</v>
      </c>
      <c r="F9" s="219">
        <f t="shared" ref="F9:F10" si="0">D9*E9</f>
        <v>4642152090</v>
      </c>
      <c r="G9" s="218">
        <v>4500000000</v>
      </c>
      <c r="H9" s="218">
        <f>F9+G9</f>
        <v>9142152090</v>
      </c>
      <c r="I9" s="162"/>
      <c r="J9" s="226">
        <v>5770000000</v>
      </c>
      <c r="K9" s="226">
        <v>0</v>
      </c>
      <c r="L9" s="226">
        <v>390000000</v>
      </c>
      <c r="M9" s="163"/>
      <c r="N9" s="164">
        <f>H9/J9</f>
        <v>1.5844284384748699</v>
      </c>
      <c r="O9" s="164">
        <v>0</v>
      </c>
      <c r="P9" s="185">
        <f>(D9*E9)/L9</f>
        <v>11.902954076923077</v>
      </c>
    </row>
    <row r="10" spans="2:16" ht="18.5" x14ac:dyDescent="0.45">
      <c r="B10" s="166" t="s">
        <v>125</v>
      </c>
      <c r="C10" s="167" t="s">
        <v>134</v>
      </c>
      <c r="D10" s="219">
        <v>81.28</v>
      </c>
      <c r="E10" s="235">
        <v>60850000</v>
      </c>
      <c r="F10" s="219">
        <f t="shared" si="0"/>
        <v>4945888000</v>
      </c>
      <c r="G10" s="219">
        <v>7910000000</v>
      </c>
      <c r="H10" s="219">
        <f t="shared" ref="H10:H14" si="1">F10+G10</f>
        <v>12855888000</v>
      </c>
      <c r="I10" s="169"/>
      <c r="J10" s="227">
        <v>5110000000</v>
      </c>
      <c r="K10" s="227">
        <v>0</v>
      </c>
      <c r="L10" s="227">
        <v>383000000</v>
      </c>
      <c r="M10" s="170"/>
      <c r="N10" s="171">
        <f t="shared" ref="N10:N13" si="2">H10/J10</f>
        <v>2.5158293542074364</v>
      </c>
      <c r="O10" s="171">
        <v>0</v>
      </c>
      <c r="P10" s="172">
        <f t="shared" ref="P10:P13" si="3">(D10*E10)/L10</f>
        <v>12.913545691906005</v>
      </c>
    </row>
    <row r="11" spans="2:16" ht="18.5" x14ac:dyDescent="0.45">
      <c r="B11" s="166" t="s">
        <v>126</v>
      </c>
      <c r="C11" s="167" t="s">
        <v>133</v>
      </c>
      <c r="D11" s="219">
        <v>246.46</v>
      </c>
      <c r="E11" s="235">
        <v>586200000</v>
      </c>
      <c r="F11" s="219">
        <f t="shared" ref="F11:F14" si="4">D11*E11</f>
        <v>144474852000</v>
      </c>
      <c r="G11" s="219">
        <v>57000000000</v>
      </c>
      <c r="H11" s="219">
        <f t="shared" si="1"/>
        <v>201474852000</v>
      </c>
      <c r="I11" s="169"/>
      <c r="J11" s="227">
        <v>82380000000</v>
      </c>
      <c r="K11" s="227">
        <v>0</v>
      </c>
      <c r="L11" s="227">
        <v>10430000000</v>
      </c>
      <c r="M11" s="170"/>
      <c r="N11" s="171">
        <f t="shared" si="2"/>
        <v>2.4456767662053895</v>
      </c>
      <c r="O11" s="171">
        <v>0</v>
      </c>
      <c r="P11" s="172">
        <f t="shared" si="3"/>
        <v>13.851855417066155</v>
      </c>
    </row>
    <row r="12" spans="2:16" ht="18.5" x14ac:dyDescent="0.45">
      <c r="B12" s="166" t="s">
        <v>127</v>
      </c>
      <c r="C12" s="167" t="s">
        <v>132</v>
      </c>
      <c r="D12" s="219">
        <v>50.75</v>
      </c>
      <c r="E12" s="235">
        <v>62740000</v>
      </c>
      <c r="F12" s="219">
        <f t="shared" si="4"/>
        <v>3184055000</v>
      </c>
      <c r="G12" s="219">
        <v>7050000000</v>
      </c>
      <c r="H12" s="219">
        <f t="shared" si="1"/>
        <v>10234055000</v>
      </c>
      <c r="I12" s="169"/>
      <c r="J12" s="227">
        <v>4790000000</v>
      </c>
      <c r="K12" s="227">
        <v>0</v>
      </c>
      <c r="L12" s="227">
        <v>343000000</v>
      </c>
      <c r="M12" s="170"/>
      <c r="N12" s="171">
        <f t="shared" si="2"/>
        <v>2.1365459290187889</v>
      </c>
      <c r="O12" s="171">
        <v>0</v>
      </c>
      <c r="P12" s="172">
        <f t="shared" si="3"/>
        <v>9.2829591836734693</v>
      </c>
    </row>
    <row r="13" spans="2:16" ht="18.5" x14ac:dyDescent="0.45">
      <c r="B13" s="166" t="s">
        <v>128</v>
      </c>
      <c r="C13" s="167" t="s">
        <v>131</v>
      </c>
      <c r="D13" s="219">
        <v>277.24</v>
      </c>
      <c r="E13" s="235">
        <v>225130000</v>
      </c>
      <c r="F13" s="219">
        <f t="shared" si="4"/>
        <v>62415041200</v>
      </c>
      <c r="G13" s="219">
        <v>76740000000</v>
      </c>
      <c r="H13" s="219">
        <f t="shared" si="1"/>
        <v>139155041200</v>
      </c>
      <c r="I13" s="169"/>
      <c r="J13" s="227">
        <v>46840000000</v>
      </c>
      <c r="K13" s="227">
        <v>0</v>
      </c>
      <c r="L13" s="227">
        <v>5250000000</v>
      </c>
      <c r="M13" s="170"/>
      <c r="N13" s="171">
        <f t="shared" si="2"/>
        <v>2.970859120409906</v>
      </c>
      <c r="O13" s="171">
        <v>0</v>
      </c>
      <c r="P13" s="172">
        <f t="shared" si="3"/>
        <v>11.888579276190477</v>
      </c>
    </row>
    <row r="14" spans="2:16" ht="18.5" x14ac:dyDescent="0.45">
      <c r="B14" s="166" t="s">
        <v>129</v>
      </c>
      <c r="C14" s="167" t="s">
        <v>130</v>
      </c>
      <c r="D14" s="219">
        <v>159.79</v>
      </c>
      <c r="E14" s="235">
        <v>156300000</v>
      </c>
      <c r="F14" s="219">
        <f t="shared" si="4"/>
        <v>24975177000</v>
      </c>
      <c r="G14" s="219">
        <v>16200000000</v>
      </c>
      <c r="H14" s="219">
        <f t="shared" si="1"/>
        <v>41175177000</v>
      </c>
      <c r="I14" s="169"/>
      <c r="J14" s="227">
        <v>11670000000</v>
      </c>
      <c r="K14" s="227">
        <v>0</v>
      </c>
      <c r="L14" s="227">
        <v>1820000000</v>
      </c>
      <c r="M14" s="170"/>
      <c r="N14" s="171">
        <f t="shared" ref="N14" si="5">H14/J14</f>
        <v>3.5282928020565554</v>
      </c>
      <c r="O14" s="171">
        <v>0</v>
      </c>
      <c r="P14" s="172">
        <f t="shared" ref="P14" si="6">(D14*E14)/L14</f>
        <v>13.722624725274725</v>
      </c>
    </row>
    <row r="15" spans="2:16" ht="15.5" x14ac:dyDescent="0.35">
      <c r="B15" s="146"/>
      <c r="D15" s="168"/>
      <c r="E15" s="169"/>
      <c r="N15" s="171"/>
      <c r="P15" s="147"/>
    </row>
    <row r="16" spans="2:16" ht="15.5" x14ac:dyDescent="0.35">
      <c r="B16" s="160" t="s">
        <v>76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64">
        <f>MAX(N10:N14)</f>
        <v>3.5282928020565554</v>
      </c>
      <c r="O16" s="164">
        <f t="shared" ref="O16:P16" si="7">MAX(O10:O14)</f>
        <v>0</v>
      </c>
      <c r="P16" s="165">
        <f t="shared" si="7"/>
        <v>13.851855417066155</v>
      </c>
    </row>
    <row r="17" spans="2:16" ht="15.5" x14ac:dyDescent="0.35">
      <c r="B17" s="160" t="s">
        <v>93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64">
        <f>_xlfn.QUARTILE.INC(N10:N14,3)</f>
        <v>2.970859120409906</v>
      </c>
      <c r="O17" s="164">
        <f t="shared" ref="O17:P17" si="8">_xlfn.QUARTILE.INC(O10:O14,3)</f>
        <v>0</v>
      </c>
      <c r="P17" s="165">
        <f t="shared" si="8"/>
        <v>13.722624725274725</v>
      </c>
    </row>
    <row r="18" spans="2:16" ht="15.5" x14ac:dyDescent="0.35">
      <c r="B18" s="175" t="s">
        <v>69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6">
        <f>HARMEAN(N10:N14)</f>
        <v>2.6393032942620533</v>
      </c>
      <c r="O18" s="176" t="e">
        <f t="shared" ref="O18:P18" si="9">HARMEAN(O10:O14)</f>
        <v>#NUM!</v>
      </c>
      <c r="P18" s="177">
        <f t="shared" si="9"/>
        <v>12.067339806212331</v>
      </c>
    </row>
    <row r="19" spans="2:16" ht="15.5" x14ac:dyDescent="0.35">
      <c r="B19" s="175" t="s">
        <v>92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6">
        <f>MEDIAN(N10:N14)</f>
        <v>2.5158293542074364</v>
      </c>
      <c r="O19" s="176">
        <f t="shared" ref="O19:P19" si="10">MEDIAN(O10:O14)</f>
        <v>0</v>
      </c>
      <c r="P19" s="177">
        <f t="shared" si="10"/>
        <v>12.913545691906005</v>
      </c>
    </row>
    <row r="20" spans="2:16" ht="15.5" x14ac:dyDescent="0.35">
      <c r="B20" s="160" t="s">
        <v>91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64">
        <f>_xlfn.QUARTILE.INC(N10:N14,1)</f>
        <v>2.4456767662053895</v>
      </c>
      <c r="O20" s="164">
        <f t="shared" ref="O20:P20" si="11">_xlfn.QUARTILE.INC(O10:O14,1)</f>
        <v>0</v>
      </c>
      <c r="P20" s="165">
        <f t="shared" si="11"/>
        <v>11.888579276190477</v>
      </c>
    </row>
    <row r="21" spans="2:16" ht="15.5" x14ac:dyDescent="0.35">
      <c r="B21" s="160" t="s">
        <v>75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64">
        <f>MIN(N10:N14)</f>
        <v>2.1365459290187889</v>
      </c>
      <c r="O21" s="164">
        <f t="shared" ref="O21:P21" si="12">MIN(O10:O14)</f>
        <v>0</v>
      </c>
      <c r="P21" s="165">
        <f t="shared" si="12"/>
        <v>9.2829591836734693</v>
      </c>
    </row>
    <row r="22" spans="2:16" x14ac:dyDescent="0.35">
      <c r="B22" s="10"/>
      <c r="P22" s="12"/>
    </row>
    <row r="23" spans="2:16" x14ac:dyDescent="0.35">
      <c r="B23" s="10"/>
      <c r="M23" s="189" t="s">
        <v>109</v>
      </c>
      <c r="N23">
        <f>INDEX(N16:N21, MATCH(M$24, B$16:B$21, 0))</f>
        <v>2.6393032942620533</v>
      </c>
      <c r="O23" t="e">
        <f>INDEX(O16:O21, MATCH(M$24, B$16:B$21, 0))</f>
        <v>#NUM!</v>
      </c>
      <c r="P23" s="12">
        <f>INDEX(P16:P21, MATCH(M$24, B$16:B$21, 0))</f>
        <v>12.067339806212331</v>
      </c>
    </row>
    <row r="24" spans="2:16" x14ac:dyDescent="0.35">
      <c r="B24" s="10"/>
      <c r="M24" s="199" t="s">
        <v>69</v>
      </c>
      <c r="P24" s="12"/>
    </row>
    <row r="25" spans="2:16" x14ac:dyDescent="0.35">
      <c r="B25" s="10"/>
      <c r="P25" s="12"/>
    </row>
    <row r="26" spans="2:16" x14ac:dyDescent="0.35">
      <c r="B26" s="146"/>
      <c r="P26" s="147"/>
    </row>
    <row r="27" spans="2:16" ht="15.5" x14ac:dyDescent="0.35">
      <c r="B27" s="148" t="s">
        <v>104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53" t="s">
        <v>90</v>
      </c>
      <c r="O27" s="153" t="s">
        <v>25</v>
      </c>
      <c r="P27" s="154" t="s">
        <v>26</v>
      </c>
    </row>
    <row r="28" spans="2:16" ht="15.5" x14ac:dyDescent="0.35">
      <c r="B28" s="166" t="s">
        <v>89</v>
      </c>
      <c r="J28" s="179"/>
      <c r="N28" s="220">
        <f>$J$9*N23</f>
        <v>15228780007.892048</v>
      </c>
      <c r="O28" s="220">
        <v>0</v>
      </c>
      <c r="P28" s="221"/>
    </row>
    <row r="29" spans="2:16" ht="15.5" x14ac:dyDescent="0.35">
      <c r="B29" s="166" t="s">
        <v>88</v>
      </c>
      <c r="G29" s="181"/>
      <c r="J29" s="179"/>
      <c r="N29" s="220">
        <f>G9</f>
        <v>4500000000</v>
      </c>
      <c r="O29" s="220">
        <v>0</v>
      </c>
      <c r="P29" s="180"/>
    </row>
    <row r="30" spans="2:16" ht="15.5" x14ac:dyDescent="0.35">
      <c r="B30" s="166" t="s">
        <v>87</v>
      </c>
      <c r="G30" s="181"/>
      <c r="J30" s="179"/>
      <c r="N30" s="220">
        <f>N28+N29</f>
        <v>19728780007.892048</v>
      </c>
      <c r="O30" s="220">
        <v>0</v>
      </c>
      <c r="P30" s="221">
        <f>L9*P23</f>
        <v>4706262524.4228096</v>
      </c>
    </row>
    <row r="31" spans="2:16" ht="15.5" x14ac:dyDescent="0.35">
      <c r="B31" s="166" t="s">
        <v>86</v>
      </c>
      <c r="G31" s="181"/>
      <c r="N31" s="220">
        <f>$E$9</f>
        <v>55389000</v>
      </c>
      <c r="O31" s="220">
        <v>0</v>
      </c>
      <c r="P31" s="221">
        <f>$E$9</f>
        <v>55389000</v>
      </c>
    </row>
    <row r="32" spans="2:16" ht="15.5" x14ac:dyDescent="0.35">
      <c r="B32" s="193" t="s">
        <v>85</v>
      </c>
      <c r="C32" s="174"/>
      <c r="D32" s="190"/>
      <c r="E32" s="190"/>
      <c r="F32" s="174"/>
      <c r="G32" s="191"/>
      <c r="H32" s="174"/>
      <c r="I32" s="174"/>
      <c r="J32" s="174"/>
      <c r="K32" s="174"/>
      <c r="L32" s="174"/>
      <c r="M32" s="174"/>
      <c r="N32" s="224">
        <f>N30/N31</f>
        <v>356.18588542656573</v>
      </c>
      <c r="O32" s="224">
        <v>0</v>
      </c>
      <c r="P32" s="225">
        <f t="shared" ref="P32" si="13">P30/P31</f>
        <v>84.96745787832981</v>
      </c>
    </row>
    <row r="33" spans="2:16" x14ac:dyDescent="0.35">
      <c r="B33" s="10"/>
      <c r="P33" s="12"/>
    </row>
    <row r="34" spans="2:16" ht="15.5" x14ac:dyDescent="0.35">
      <c r="B34" s="121"/>
      <c r="L34" t="s">
        <v>106</v>
      </c>
      <c r="N34" s="198" t="s">
        <v>110</v>
      </c>
      <c r="O34" s="194"/>
      <c r="P34" s="222">
        <f>AVERAGE(N32:P32)</f>
        <v>147.05111443496517</v>
      </c>
    </row>
    <row r="35" spans="2:16" ht="15.5" x14ac:dyDescent="0.35">
      <c r="B35" s="121"/>
      <c r="L35" t="s">
        <v>107</v>
      </c>
      <c r="N35" s="192" t="s">
        <v>111</v>
      </c>
      <c r="O35" s="194"/>
      <c r="P35" s="222">
        <v>139.91</v>
      </c>
    </row>
    <row r="36" spans="2:16" ht="15.5" x14ac:dyDescent="0.35">
      <c r="B36" s="121"/>
      <c r="L36" t="s">
        <v>108</v>
      </c>
      <c r="N36" s="192" t="s">
        <v>112</v>
      </c>
      <c r="O36" s="194"/>
      <c r="P36" s="222">
        <v>147.05000000000001</v>
      </c>
    </row>
    <row r="37" spans="2:16" ht="16" thickBot="1" x14ac:dyDescent="0.4">
      <c r="B37" s="195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96" t="s">
        <v>113</v>
      </c>
      <c r="O37" s="197"/>
      <c r="P37" s="223">
        <v>162.44999999999999</v>
      </c>
    </row>
  </sheetData>
  <dataValidations count="1">
    <dataValidation type="list" allowBlank="1" showInputMessage="1" showErrorMessage="1" sqref="M24" xr:uid="{92A50753-D472-474A-8000-434E8A94F5F3}">
      <formula1>$B$16:$B$21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zoomScale="39" workbookViewId="0">
      <selection activeCell="E7" sqref="E7"/>
    </sheetView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v I U h W 9 H X H A i l A A A A 9 w A A A B I A H A B D b 2 5 m a W c v U G F j a 2 F n Z S 5 4 b W w g o h g A K K A U A A A A A A A A A A A A A A A A A A A A A A A A A A A A h Y + 9 D o I w A I R f h X S n f 2 o 0 p J T B V R K j x r g 2 p U I j F N M W y 7 s 5 + E i + g h h F 3 R z v 7 r v k 7 n 6 9 s a x v 6 u i i r N O t S Q G B G E T K y L b Q p k x B 5 4 / x A m S c r Y U 8 i V J F A 2 x c 0 j u d g s r 7 c 4 J Q C A G G C W x t i S j G B B 3 y 1 V Z W q h G x N s 4 L I x X 4 t I r / L c D Z / j W G U 0 i m M 0 g w n U P M 0 O i y X J s v Q Y f B z / T H Z M u u 9 p 1 V 3 N t 4 t 2 F o l A y 9 T / A H U E s D B B Q A A g A I A L y F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8 h S F b K I p H u A 4 A A A A R A A A A E w A c A E Z v c m 1 1 b G F z L 1 N l Y 3 R p b 2 4 x L m 0 g o h g A K K A U A A A A A A A A A A A A A A A A A A A A A A A A A A A A K 0 5 N L s n M z 1 M I h t C G 1 g B Q S w E C L Q A U A A I A C A C 8 h S F b 0 d c c C K U A A A D 3 A A A A E g A A A A A A A A A A A A A A A A A A A A A A Q 2 9 u Z m l n L 1 B h Y 2 t h Z 2 U u e G 1 s U E s B A i 0 A F A A C A A g A v I U h W w / K 6 a u k A A A A 6 Q A A A B M A A A A A A A A A A A A A A A A A 8 Q A A A F t D b 2 5 0 Z W 5 0 X 1 R 5 c G V z X S 5 4 b W x Q S w E C L Q A U A A I A C A C 8 h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m b X 3 m H f J 0 e y v N l F e V N g l w A A A A A C A A A A A A A Q Z g A A A A E A A C A A A A B o W 3 E Z m q x G d r v i j b U h L m L n a h O W L r C 4 f z z u s w c l B q r T s g A A A A A O g A A A A A I A A C A A A A D V P P w M H 8 D z 6 R U P L J 7 L 6 j K 5 w l 3 a c j y L C D v e N l T G m g P M i F A A A A D j z t 2 s l g y x a h 9 8 / 9 a c e t S C c T I c v 5 R K W w 6 t H F i 7 y U l h S O B F a H + n m 0 + U f O G 2 q y p I s 5 I S Q l q 9 O f 3 t q t a w m E 3 9 R H P s E M 3 b U F p / w A g z Z 7 4 F k P E A 9 k A A A A A t H 4 2 d 1 X C s T u 7 A E I i A 8 y 8 K p 9 N C W o W V l A X d T K n F N o l Y q 1 5 2 Z 8 X 3 1 K a W / q e t P l 0 v 4 0 U k H / 1 M C n 4 H Z J P h B E b Y u L F y < / D a t a M a s h u p > 
</file>

<file path=customXml/itemProps1.xml><?xml version="1.0" encoding="utf-8"?>
<ds:datastoreItem xmlns:ds="http://schemas.openxmlformats.org/officeDocument/2006/customXml" ds:itemID="{550A27EA-DE46-415B-A66E-C8FEBE6312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DCF</vt:lpstr>
      <vt:lpstr>ASSUMPTIONS</vt:lpstr>
      <vt:lpstr>WACC</vt:lpstr>
      <vt:lpstr>SCHEDULES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2025-10-02T13:13:48Z</dcterms:modified>
</cp:coreProperties>
</file>