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e6237f9b02a2a353/Masaüstü/DOSYALARIM/Hisse ve Şirket değerleme/2026/Bitmişler/"/>
    </mc:Choice>
  </mc:AlternateContent>
  <xr:revisionPtr revIDLastSave="50" documentId="11_F25DC773A252ABDACC104826919F4ED45ADE58ED" xr6:coauthVersionLast="47" xr6:coauthVersionMax="47" xr10:uidLastSave="{1F89B881-BECA-4C25-937F-ADAD9397531A}"/>
  <bookViews>
    <workbookView xWindow="-120" yWindow="-120" windowWidth="29040" windowHeight="15720" xr2:uid="{00000000-000D-0000-FFFF-FFFF00000000}"/>
  </bookViews>
  <sheets>
    <sheet name="Summary" sheetId="1" r:id="rId1"/>
    <sheet name="Financial Model" sheetId="2" r:id="rId2"/>
    <sheet name="Inputs &amp; Assumptions" sheetId="3" r:id="rId3"/>
    <sheet name="Valuation – DDM" sheetId="5" r:id="rId4"/>
    <sheet name="Valuation – Residual  " sheetId="4" r:id="rId5"/>
    <sheet name="Net Asset Value" sheetId="8" r:id="rId6"/>
    <sheet name="Comps" sheetId="6" r:id="rId7"/>
    <sheet name="Valuation Summary" sheetId="7" r:id="rId8"/>
  </sheets>
  <externalReferences>
    <externalReference r:id="rId9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5" i="1" l="1"/>
  <c r="I25" i="4" l="1"/>
  <c r="J25" i="4"/>
  <c r="K25" i="4"/>
  <c r="L25" i="4"/>
  <c r="M25" i="4"/>
  <c r="N25" i="4"/>
  <c r="I26" i="4"/>
  <c r="J26" i="4"/>
  <c r="K26" i="4"/>
  <c r="L26" i="4"/>
  <c r="M26" i="4"/>
  <c r="N26" i="4"/>
  <c r="F34" i="4"/>
  <c r="G34" i="4"/>
  <c r="H34" i="4"/>
  <c r="I34" i="4"/>
  <c r="I31" i="4" s="1"/>
  <c r="J34" i="4"/>
  <c r="K34" i="4"/>
  <c r="L34" i="4"/>
  <c r="L31" i="4" s="1"/>
  <c r="M34" i="4"/>
  <c r="N34" i="4" s="1"/>
  <c r="F151" i="2"/>
  <c r="M76" i="4"/>
  <c r="H19" i="3"/>
  <c r="M31" i="4" l="1"/>
  <c r="N31" i="4"/>
  <c r="J31" i="4"/>
  <c r="K31" i="4"/>
  <c r="F265" i="2"/>
  <c r="I262" i="2"/>
  <c r="H262" i="2"/>
  <c r="H265" i="2" s="1"/>
  <c r="G262" i="2"/>
  <c r="G265" i="2" s="1"/>
  <c r="F260" i="2"/>
  <c r="E47" i="7" l="1"/>
  <c r="G47" i="7"/>
  <c r="M28" i="6"/>
  <c r="L27" i="6"/>
  <c r="K26" i="6"/>
  <c r="J25" i="6"/>
  <c r="C61" i="6" l="1"/>
  <c r="C60" i="6" s="1"/>
  <c r="C63" i="6"/>
  <c r="C64" i="6" s="1"/>
  <c r="G59" i="6"/>
  <c r="H59" i="6" s="1"/>
  <c r="E59" i="6"/>
  <c r="D59" i="6" s="1"/>
  <c r="G44" i="7"/>
  <c r="E44" i="7"/>
  <c r="G43" i="7"/>
  <c r="E43" i="7"/>
  <c r="G42" i="7"/>
  <c r="E42" i="7"/>
  <c r="F48" i="7"/>
  <c r="E43" i="6"/>
  <c r="E42" i="6"/>
  <c r="E41" i="6"/>
  <c r="F42" i="7" l="1"/>
  <c r="F44" i="7"/>
  <c r="F43" i="7"/>
  <c r="I43" i="6" l="1"/>
  <c r="H43" i="6"/>
  <c r="I42" i="6"/>
  <c r="H42" i="6"/>
  <c r="I41" i="6"/>
  <c r="H41" i="6"/>
  <c r="I40" i="6"/>
  <c r="H40" i="6"/>
  <c r="E40" i="6"/>
  <c r="O14" i="6" l="1"/>
  <c r="K43" i="6" s="1"/>
  <c r="N14" i="6"/>
  <c r="J43" i="6" s="1"/>
  <c r="O13" i="6"/>
  <c r="N13" i="6"/>
  <c r="O12" i="6"/>
  <c r="K42" i="6" s="1"/>
  <c r="N12" i="6"/>
  <c r="J42" i="6" s="1"/>
  <c r="O11" i="6"/>
  <c r="K41" i="6" s="1"/>
  <c r="N11" i="6"/>
  <c r="J41" i="6" s="1"/>
  <c r="D25" i="6" l="1"/>
  <c r="D51" i="6" l="1"/>
  <c r="D52" i="6"/>
  <c r="E14" i="6"/>
  <c r="E13" i="6"/>
  <c r="E12" i="6"/>
  <c r="D26" i="6" l="1"/>
  <c r="D27" i="6" s="1"/>
  <c r="D28" i="6" s="1"/>
  <c r="R14" i="6"/>
  <c r="M14" i="6"/>
  <c r="R13" i="6"/>
  <c r="M13" i="6"/>
  <c r="L13" i="6"/>
  <c r="R12" i="6"/>
  <c r="M12" i="6"/>
  <c r="R11" i="6"/>
  <c r="E11" i="6"/>
  <c r="L11" i="6" s="1"/>
  <c r="R10" i="6"/>
  <c r="O10" i="6"/>
  <c r="K40" i="6" s="1"/>
  <c r="N10" i="6"/>
  <c r="J40" i="6" s="1"/>
  <c r="E10" i="6"/>
  <c r="K10" i="6" s="1"/>
  <c r="M71" i="8"/>
  <c r="L71" i="8"/>
  <c r="K71" i="8"/>
  <c r="E64" i="8"/>
  <c r="M64" i="8" s="1"/>
  <c r="E63" i="8"/>
  <c r="M63" i="8" s="1"/>
  <c r="E62" i="8"/>
  <c r="L62" i="8" s="1"/>
  <c r="E61" i="8"/>
  <c r="K61" i="8" s="1"/>
  <c r="E60" i="8"/>
  <c r="M60" i="8" s="1"/>
  <c r="E59" i="8"/>
  <c r="M59" i="8" s="1"/>
  <c r="E58" i="8"/>
  <c r="L58" i="8" s="1"/>
  <c r="E57" i="8"/>
  <c r="K57" i="8" s="1"/>
  <c r="E56" i="8"/>
  <c r="M56" i="8" s="1"/>
  <c r="E52" i="8"/>
  <c r="M52" i="8" s="1"/>
  <c r="E51" i="8"/>
  <c r="E50" i="8"/>
  <c r="M50" i="8" s="1"/>
  <c r="E49" i="8"/>
  <c r="K49" i="8" s="1"/>
  <c r="E48" i="8"/>
  <c r="L48" i="8" s="1"/>
  <c r="E47" i="8"/>
  <c r="M47" i="8" s="1"/>
  <c r="E46" i="8"/>
  <c r="M46" i="8" s="1"/>
  <c r="E45" i="8"/>
  <c r="M45" i="8" s="1"/>
  <c r="E44" i="8"/>
  <c r="L44" i="8" s="1"/>
  <c r="E43" i="8"/>
  <c r="K43" i="8" s="1"/>
  <c r="E16" i="8"/>
  <c r="E25" i="8" s="1"/>
  <c r="D89" i="4"/>
  <c r="D90" i="4" s="1"/>
  <c r="D87" i="4"/>
  <c r="D86" i="4" s="1"/>
  <c r="H85" i="4"/>
  <c r="I85" i="4" s="1"/>
  <c r="F85" i="4"/>
  <c r="E85" i="4" s="1"/>
  <c r="J70" i="4"/>
  <c r="H48" i="4"/>
  <c r="H50" i="4" s="1"/>
  <c r="H43" i="4"/>
  <c r="H42" i="4"/>
  <c r="C149" i="5"/>
  <c r="C150" i="5" s="1"/>
  <c r="E134" i="5"/>
  <c r="D134" i="5" s="1"/>
  <c r="C136" i="5"/>
  <c r="C135" i="5" s="1"/>
  <c r="G145" i="5"/>
  <c r="H145" i="5" s="1"/>
  <c r="E145" i="5"/>
  <c r="D145" i="5" s="1"/>
  <c r="H66" i="5"/>
  <c r="H72" i="5" s="1"/>
  <c r="H74" i="5" s="1"/>
  <c r="H73" i="5"/>
  <c r="I73" i="5"/>
  <c r="J73" i="5"/>
  <c r="K73" i="5"/>
  <c r="L73" i="5"/>
  <c r="H102" i="5"/>
  <c r="H104" i="5" s="1"/>
  <c r="H96" i="5"/>
  <c r="H95" i="5"/>
  <c r="H80" i="5"/>
  <c r="H61" i="5"/>
  <c r="H60" i="5"/>
  <c r="F4" i="5"/>
  <c r="F30" i="5" s="1"/>
  <c r="F332" i="2"/>
  <c r="F311" i="2"/>
  <c r="F291" i="2"/>
  <c r="F246" i="2"/>
  <c r="F270" i="2"/>
  <c r="F238" i="2"/>
  <c r="F229" i="2"/>
  <c r="F205" i="2"/>
  <c r="F177" i="2"/>
  <c r="F123" i="2"/>
  <c r="F83" i="2"/>
  <c r="F45" i="2"/>
  <c r="M61" i="8" l="1"/>
  <c r="L49" i="8"/>
  <c r="M48" i="8"/>
  <c r="L61" i="8"/>
  <c r="M49" i="8"/>
  <c r="K64" i="8"/>
  <c r="L64" i="8"/>
  <c r="K46" i="8"/>
  <c r="E53" i="8"/>
  <c r="L46" i="8"/>
  <c r="K48" i="8"/>
  <c r="H68" i="5"/>
  <c r="K56" i="8"/>
  <c r="L50" i="8"/>
  <c r="L56" i="8"/>
  <c r="K50" i="8"/>
  <c r="K58" i="8"/>
  <c r="K62" i="8"/>
  <c r="M58" i="8"/>
  <c r="M62" i="8"/>
  <c r="K59" i="8"/>
  <c r="K63" i="8"/>
  <c r="L51" i="8"/>
  <c r="L59" i="8"/>
  <c r="L57" i="8"/>
  <c r="M57" i="8"/>
  <c r="K47" i="8"/>
  <c r="K51" i="8"/>
  <c r="L47" i="8"/>
  <c r="L63" i="8"/>
  <c r="M51" i="8"/>
  <c r="K52" i="8"/>
  <c r="K60" i="8"/>
  <c r="L52" i="8"/>
  <c r="L60" i="8"/>
  <c r="I47" i="6"/>
  <c r="I48" i="6"/>
  <c r="I46" i="6"/>
  <c r="H46" i="6"/>
  <c r="H48" i="6"/>
  <c r="H47" i="6"/>
  <c r="M11" i="6"/>
  <c r="N19" i="6"/>
  <c r="N18" i="6"/>
  <c r="N20" i="6"/>
  <c r="O17" i="6"/>
  <c r="O19" i="6"/>
  <c r="O18" i="6"/>
  <c r="O20" i="6"/>
  <c r="N16" i="6"/>
  <c r="R20" i="6"/>
  <c r="R19" i="6"/>
  <c r="R18" i="6"/>
  <c r="R16" i="6"/>
  <c r="R17" i="6"/>
  <c r="O16" i="6"/>
  <c r="L10" i="6"/>
  <c r="J12" i="6"/>
  <c r="M10" i="6"/>
  <c r="K12" i="6"/>
  <c r="K14" i="6"/>
  <c r="J14" i="6"/>
  <c r="L12" i="6"/>
  <c r="L14" i="6"/>
  <c r="N17" i="6"/>
  <c r="J10" i="6"/>
  <c r="J11" i="6"/>
  <c r="J13" i="6"/>
  <c r="K13" i="6"/>
  <c r="K11" i="6"/>
  <c r="E65" i="8"/>
  <c r="L43" i="8"/>
  <c r="M43" i="8"/>
  <c r="K45" i="8"/>
  <c r="K44" i="8"/>
  <c r="L45" i="8"/>
  <c r="M44" i="8"/>
  <c r="C147" i="5"/>
  <c r="C146" i="5" s="1"/>
  <c r="C138" i="5"/>
  <c r="C139" i="5" s="1"/>
  <c r="G134" i="5"/>
  <c r="H134" i="5" s="1"/>
  <c r="M53" i="8" l="1"/>
  <c r="M68" i="8" s="1"/>
  <c r="K65" i="8"/>
  <c r="K69" i="8" s="1"/>
  <c r="M65" i="8"/>
  <c r="M69" i="8" s="1"/>
  <c r="L65" i="8"/>
  <c r="L69" i="8" s="1"/>
  <c r="L53" i="8"/>
  <c r="L68" i="8" s="1"/>
  <c r="K53" i="8"/>
  <c r="K68" i="8" s="1"/>
  <c r="K70" i="8" s="1"/>
  <c r="K72" i="8" s="1"/>
  <c r="K19" i="6"/>
  <c r="L18" i="6"/>
  <c r="L20" i="6"/>
  <c r="L19" i="6"/>
  <c r="K20" i="6"/>
  <c r="M18" i="6"/>
  <c r="M19" i="6"/>
  <c r="M20" i="6"/>
  <c r="J19" i="6"/>
  <c r="J18" i="6"/>
  <c r="J20" i="6"/>
  <c r="K18" i="6"/>
  <c r="K17" i="6"/>
  <c r="M16" i="6"/>
  <c r="M17" i="6"/>
  <c r="L16" i="6"/>
  <c r="L17" i="6"/>
  <c r="J16" i="6"/>
  <c r="J17" i="6"/>
  <c r="K16" i="6"/>
  <c r="M70" i="8" l="1"/>
  <c r="M72" i="8" s="1"/>
  <c r="G45" i="7" s="1"/>
  <c r="E45" i="7"/>
  <c r="K73" i="8"/>
  <c r="F47" i="7"/>
  <c r="L70" i="8"/>
  <c r="L72" i="8" s="1"/>
  <c r="M73" i="8" l="1"/>
  <c r="H45" i="7"/>
  <c r="L73" i="8"/>
  <c r="F45" i="7"/>
  <c r="N41" i="5"/>
  <c r="M41" i="5"/>
  <c r="L41" i="5"/>
  <c r="K41" i="5"/>
  <c r="J41" i="5"/>
  <c r="I41" i="5"/>
  <c r="H41" i="5"/>
  <c r="G41" i="5"/>
  <c r="F41" i="5"/>
  <c r="M44" i="5"/>
  <c r="L44" i="5"/>
  <c r="K44" i="5"/>
  <c r="J44" i="5"/>
  <c r="I44" i="5"/>
  <c r="H44" i="5"/>
  <c r="G44" i="5"/>
  <c r="F44" i="5"/>
  <c r="F11" i="4"/>
  <c r="F9" i="4"/>
  <c r="H34" i="5"/>
  <c r="G34" i="5"/>
  <c r="F34" i="5"/>
  <c r="F35" i="5" s="1"/>
  <c r="H26" i="5"/>
  <c r="H11" i="5"/>
  <c r="G11" i="5"/>
  <c r="F11" i="5"/>
  <c r="J18" i="5"/>
  <c r="K18" i="5" s="1"/>
  <c r="L18" i="5" s="1"/>
  <c r="M18" i="5" s="1"/>
  <c r="G35" i="5" l="1"/>
  <c r="H35" i="5"/>
  <c r="M21" i="4" l="1"/>
  <c r="L21" i="4"/>
  <c r="K21" i="4"/>
  <c r="J21" i="4"/>
  <c r="I21" i="4"/>
  <c r="H21" i="4"/>
  <c r="G21" i="4"/>
  <c r="F21" i="4"/>
  <c r="H11" i="4"/>
  <c r="G11" i="4"/>
  <c r="H10" i="4"/>
  <c r="H18" i="4" s="1"/>
  <c r="G10" i="4"/>
  <c r="G18" i="4" s="1"/>
  <c r="F10" i="4"/>
  <c r="F18" i="4" s="1"/>
  <c r="H9" i="4"/>
  <c r="G9" i="4"/>
  <c r="H8" i="4"/>
  <c r="H17" i="4" s="1"/>
  <c r="G8" i="4"/>
  <c r="G17" i="4" s="1"/>
  <c r="F8" i="4"/>
  <c r="F17" i="4" s="1"/>
  <c r="G4" i="4"/>
  <c r="H4" i="4" s="1"/>
  <c r="I4" i="4" s="1"/>
  <c r="H11" i="3"/>
  <c r="J4" i="4" l="1"/>
  <c r="I42" i="4"/>
  <c r="I43" i="4" s="1"/>
  <c r="D6" i="5"/>
  <c r="D42" i="4"/>
  <c r="L35" i="4"/>
  <c r="I35" i="4"/>
  <c r="K35" i="4"/>
  <c r="H35" i="4"/>
  <c r="D60" i="5"/>
  <c r="D95" i="5"/>
  <c r="J35" i="4"/>
  <c r="M35" i="4"/>
  <c r="H25" i="3"/>
  <c r="F35" i="4"/>
  <c r="G35" i="4"/>
  <c r="I61" i="4" l="1"/>
  <c r="I54" i="4"/>
  <c r="K4" i="4"/>
  <c r="J42" i="4"/>
  <c r="J43" i="4" s="1"/>
  <c r="J61" i="4" l="1"/>
  <c r="L4" i="4"/>
  <c r="K42" i="4"/>
  <c r="K43" i="4" s="1"/>
  <c r="J54" i="4"/>
  <c r="H221" i="2"/>
  <c r="G221" i="2"/>
  <c r="F221" i="2"/>
  <c r="H349" i="2"/>
  <c r="G349" i="2"/>
  <c r="F349" i="2"/>
  <c r="H347" i="2"/>
  <c r="G347" i="2"/>
  <c r="F347" i="2"/>
  <c r="H345" i="2"/>
  <c r="I345" i="2" s="1"/>
  <c r="G345" i="2"/>
  <c r="F345" i="2"/>
  <c r="H341" i="2"/>
  <c r="I341" i="2" s="1"/>
  <c r="I15" i="2" s="1"/>
  <c r="G341" i="2"/>
  <c r="F341" i="2"/>
  <c r="F342" i="2" s="1"/>
  <c r="H339" i="2"/>
  <c r="G339" i="2"/>
  <c r="F339" i="2"/>
  <c r="F340" i="2" s="1"/>
  <c r="H337" i="2"/>
  <c r="I337" i="2" s="1"/>
  <c r="G337" i="2"/>
  <c r="F337" i="2"/>
  <c r="H335" i="2"/>
  <c r="I335" i="2" s="1"/>
  <c r="G335" i="2"/>
  <c r="F335" i="2"/>
  <c r="F336" i="2" s="1"/>
  <c r="H321" i="2"/>
  <c r="G321" i="2"/>
  <c r="H323" i="2"/>
  <c r="I323" i="2" s="1"/>
  <c r="J323" i="2" s="1"/>
  <c r="K323" i="2" s="1"/>
  <c r="L323" i="2" s="1"/>
  <c r="M323" i="2" s="1"/>
  <c r="M97" i="2" s="1"/>
  <c r="G323" i="2"/>
  <c r="H325" i="2"/>
  <c r="I325" i="2" s="1"/>
  <c r="J325" i="2" s="1"/>
  <c r="K325" i="2" s="1"/>
  <c r="L325" i="2" s="1"/>
  <c r="M325" i="2" s="1"/>
  <c r="M98" i="2" s="1"/>
  <c r="G325" i="2"/>
  <c r="H327" i="2"/>
  <c r="I327" i="2" s="1"/>
  <c r="J327" i="2" s="1"/>
  <c r="G327" i="2"/>
  <c r="F327" i="2"/>
  <c r="F328" i="2" s="1"/>
  <c r="F325" i="2"/>
  <c r="F326" i="2" s="1"/>
  <c r="F323" i="2"/>
  <c r="F324" i="2" s="1"/>
  <c r="F321" i="2"/>
  <c r="F322" i="2" s="1"/>
  <c r="H319" i="2"/>
  <c r="I319" i="2" s="1"/>
  <c r="J319" i="2" s="1"/>
  <c r="K319" i="2" s="1"/>
  <c r="L319" i="2" s="1"/>
  <c r="M319" i="2" s="1"/>
  <c r="M95" i="2" s="1"/>
  <c r="G319" i="2"/>
  <c r="F319" i="2"/>
  <c r="H315" i="2"/>
  <c r="F315" i="2"/>
  <c r="G315" i="2"/>
  <c r="M37" i="2"/>
  <c r="L37" i="2"/>
  <c r="K37" i="2"/>
  <c r="J37" i="2"/>
  <c r="I37" i="2"/>
  <c r="M33" i="2"/>
  <c r="L33" i="2"/>
  <c r="K33" i="2"/>
  <c r="J33" i="2"/>
  <c r="I33" i="2"/>
  <c r="H248" i="2"/>
  <c r="G248" i="2"/>
  <c r="F248" i="2"/>
  <c r="F256" i="2"/>
  <c r="H252" i="2"/>
  <c r="G252" i="2"/>
  <c r="F252" i="2"/>
  <c r="M35" i="2"/>
  <c r="L35" i="2"/>
  <c r="K35" i="2"/>
  <c r="J35" i="2"/>
  <c r="I35" i="2"/>
  <c r="H253" i="2"/>
  <c r="G253" i="2"/>
  <c r="F253" i="2"/>
  <c r="H251" i="2"/>
  <c r="H263" i="2" s="1"/>
  <c r="H264" i="2" s="1"/>
  <c r="G251" i="2"/>
  <c r="G263" i="2" s="1"/>
  <c r="G264" i="2" s="1"/>
  <c r="H250" i="2"/>
  <c r="G250" i="2"/>
  <c r="F251" i="2"/>
  <c r="F263" i="2" s="1"/>
  <c r="F264" i="2" s="1"/>
  <c r="F250" i="2"/>
  <c r="H242" i="2"/>
  <c r="G242" i="2"/>
  <c r="F242" i="2"/>
  <c r="M66" i="2"/>
  <c r="L66" i="2"/>
  <c r="K66" i="2"/>
  <c r="J66" i="2"/>
  <c r="I66" i="2"/>
  <c r="F306" i="2"/>
  <c r="G306" i="2"/>
  <c r="H306" i="2"/>
  <c r="I306" i="2" s="1"/>
  <c r="J306" i="2" s="1"/>
  <c r="K306" i="2" s="1"/>
  <c r="L306" i="2" s="1"/>
  <c r="M306" i="2" s="1"/>
  <c r="M64" i="2" s="1"/>
  <c r="H302" i="2"/>
  <c r="G302" i="2"/>
  <c r="H300" i="2"/>
  <c r="G300" i="2"/>
  <c r="H298" i="2"/>
  <c r="I298" i="2" s="1"/>
  <c r="I55" i="2" s="1"/>
  <c r="G298" i="2"/>
  <c r="H296" i="2"/>
  <c r="G296" i="2"/>
  <c r="H294" i="2"/>
  <c r="G294" i="2"/>
  <c r="F302" i="2"/>
  <c r="F300" i="2"/>
  <c r="F301" i="2" s="1"/>
  <c r="F298" i="2"/>
  <c r="F299" i="2" s="1"/>
  <c r="F296" i="2"/>
  <c r="F294" i="2"/>
  <c r="F233" i="2"/>
  <c r="H233" i="2"/>
  <c r="G233" i="2"/>
  <c r="H231" i="2"/>
  <c r="G231" i="2"/>
  <c r="F231" i="2"/>
  <c r="K61" i="4" l="1"/>
  <c r="M4" i="4"/>
  <c r="L42" i="4"/>
  <c r="L43" i="4" s="1"/>
  <c r="K54" i="4"/>
  <c r="G346" i="2"/>
  <c r="H338" i="2"/>
  <c r="H324" i="2"/>
  <c r="G336" i="2"/>
  <c r="H342" i="2"/>
  <c r="G322" i="2"/>
  <c r="G340" i="2"/>
  <c r="G342" i="2"/>
  <c r="H348" i="2"/>
  <c r="G350" i="2"/>
  <c r="H340" i="2"/>
  <c r="H350" i="2"/>
  <c r="L98" i="2"/>
  <c r="I9" i="2"/>
  <c r="J335" i="2"/>
  <c r="J9" i="2" s="1"/>
  <c r="J345" i="2"/>
  <c r="I24" i="2"/>
  <c r="I10" i="2"/>
  <c r="J337" i="2"/>
  <c r="I347" i="2"/>
  <c r="I349" i="2"/>
  <c r="I339" i="2"/>
  <c r="F350" i="2"/>
  <c r="G348" i="2"/>
  <c r="F348" i="2"/>
  <c r="F346" i="2"/>
  <c r="H346" i="2"/>
  <c r="G338" i="2"/>
  <c r="F338" i="2"/>
  <c r="H336" i="2"/>
  <c r="J341" i="2"/>
  <c r="J15" i="2" s="1"/>
  <c r="K327" i="2"/>
  <c r="J99" i="2"/>
  <c r="H320" i="2"/>
  <c r="H322" i="2"/>
  <c r="J97" i="2"/>
  <c r="K97" i="2"/>
  <c r="L95" i="2"/>
  <c r="L97" i="2"/>
  <c r="I95" i="2"/>
  <c r="J95" i="2"/>
  <c r="J98" i="2"/>
  <c r="G320" i="2"/>
  <c r="K95" i="2"/>
  <c r="K98" i="2"/>
  <c r="I97" i="2"/>
  <c r="I98" i="2"/>
  <c r="I99" i="2"/>
  <c r="G328" i="2"/>
  <c r="G324" i="2"/>
  <c r="I321" i="2"/>
  <c r="F320" i="2"/>
  <c r="H328" i="2"/>
  <c r="G326" i="2"/>
  <c r="H326" i="2"/>
  <c r="G254" i="2"/>
  <c r="G299" i="2"/>
  <c r="H254" i="2"/>
  <c r="G297" i="2"/>
  <c r="H297" i="2"/>
  <c r="G301" i="2"/>
  <c r="G234" i="2"/>
  <c r="H301" i="2"/>
  <c r="F303" i="2"/>
  <c r="F297" i="2"/>
  <c r="G303" i="2"/>
  <c r="H307" i="2"/>
  <c r="I300" i="2"/>
  <c r="J300" i="2" s="1"/>
  <c r="K300" i="2" s="1"/>
  <c r="L300" i="2" s="1"/>
  <c r="M300" i="2" s="1"/>
  <c r="M302" i="2" s="1"/>
  <c r="M57" i="2" s="1"/>
  <c r="H303" i="2"/>
  <c r="H299" i="2"/>
  <c r="J298" i="2"/>
  <c r="I64" i="2"/>
  <c r="K64" i="2"/>
  <c r="L64" i="2"/>
  <c r="J64" i="2"/>
  <c r="G307" i="2"/>
  <c r="F307" i="2"/>
  <c r="H234" i="2"/>
  <c r="I231" i="2" s="1"/>
  <c r="I234" i="2" s="1"/>
  <c r="F234" i="2"/>
  <c r="H225" i="2"/>
  <c r="G225" i="2"/>
  <c r="F225" i="2"/>
  <c r="F224" i="2" s="1"/>
  <c r="F211" i="2"/>
  <c r="G211" i="2"/>
  <c r="H211" i="2"/>
  <c r="H212" i="2"/>
  <c r="G212" i="2"/>
  <c r="F212" i="2"/>
  <c r="I209" i="2"/>
  <c r="J209" i="2" s="1"/>
  <c r="I208" i="2"/>
  <c r="J208" i="2" s="1"/>
  <c r="K208" i="2" s="1"/>
  <c r="L208" i="2" s="1"/>
  <c r="H217" i="2"/>
  <c r="G217" i="2"/>
  <c r="F217" i="2"/>
  <c r="H182" i="2"/>
  <c r="I182" i="2" s="1"/>
  <c r="G182" i="2"/>
  <c r="F182" i="2"/>
  <c r="F195" i="2" s="1"/>
  <c r="H201" i="2"/>
  <c r="G201" i="2"/>
  <c r="F201" i="2"/>
  <c r="I187" i="2"/>
  <c r="J187" i="2" s="1"/>
  <c r="K187" i="2" s="1"/>
  <c r="L187" i="2" s="1"/>
  <c r="M187" i="2" s="1"/>
  <c r="H199" i="2"/>
  <c r="G199" i="2"/>
  <c r="F199" i="2"/>
  <c r="I186" i="2"/>
  <c r="J186" i="2" s="1"/>
  <c r="K186" i="2" s="1"/>
  <c r="L186" i="2" s="1"/>
  <c r="M186" i="2" s="1"/>
  <c r="H197" i="2"/>
  <c r="G197" i="2"/>
  <c r="F197" i="2"/>
  <c r="H181" i="2"/>
  <c r="G181" i="2"/>
  <c r="F181" i="2"/>
  <c r="H180" i="2"/>
  <c r="G180" i="2"/>
  <c r="F180" i="2"/>
  <c r="F216" i="2"/>
  <c r="H156" i="2"/>
  <c r="G156" i="2"/>
  <c r="F156" i="2"/>
  <c r="H155" i="2"/>
  <c r="G155" i="2"/>
  <c r="F155" i="2"/>
  <c r="M149" i="2"/>
  <c r="L149" i="2"/>
  <c r="K149" i="2"/>
  <c r="J149" i="2"/>
  <c r="I149" i="2"/>
  <c r="H149" i="2"/>
  <c r="G149" i="2"/>
  <c r="F149" i="2"/>
  <c r="M139" i="2"/>
  <c r="L139" i="2"/>
  <c r="K139" i="2"/>
  <c r="J139" i="2"/>
  <c r="I139" i="2"/>
  <c r="H139" i="2"/>
  <c r="G139" i="2"/>
  <c r="H138" i="2"/>
  <c r="G138" i="2"/>
  <c r="F139" i="2"/>
  <c r="F138" i="2"/>
  <c r="M127" i="2"/>
  <c r="L127" i="2"/>
  <c r="K127" i="2"/>
  <c r="J127" i="2"/>
  <c r="I127" i="2"/>
  <c r="H127" i="2"/>
  <c r="G127" i="2"/>
  <c r="F127" i="2"/>
  <c r="L61" i="4" l="1"/>
  <c r="M42" i="4"/>
  <c r="M43" i="4" s="1"/>
  <c r="M61" i="4" s="1"/>
  <c r="N42" i="4"/>
  <c r="N43" i="4" s="1"/>
  <c r="L54" i="4"/>
  <c r="K335" i="2"/>
  <c r="K9" i="2" s="1"/>
  <c r="J349" i="2"/>
  <c r="I27" i="2"/>
  <c r="J347" i="2"/>
  <c r="I25" i="2"/>
  <c r="J339" i="2"/>
  <c r="I13" i="2"/>
  <c r="K345" i="2"/>
  <c r="J24" i="2"/>
  <c r="K337" i="2"/>
  <c r="J10" i="2"/>
  <c r="K341" i="2"/>
  <c r="K15" i="2" s="1"/>
  <c r="L327" i="2"/>
  <c r="K99" i="2"/>
  <c r="J321" i="2"/>
  <c r="I96" i="2"/>
  <c r="K302" i="2"/>
  <c r="K57" i="2" s="1"/>
  <c r="I302" i="2"/>
  <c r="I57" i="2" s="1"/>
  <c r="M56" i="2"/>
  <c r="K56" i="2"/>
  <c r="I56" i="2"/>
  <c r="L56" i="2"/>
  <c r="G256" i="2"/>
  <c r="J56" i="2"/>
  <c r="L302" i="2"/>
  <c r="L57" i="2" s="1"/>
  <c r="J302" i="2"/>
  <c r="J57" i="2" s="1"/>
  <c r="K298" i="2"/>
  <c r="J55" i="2"/>
  <c r="H214" i="2"/>
  <c r="H223" i="2" s="1"/>
  <c r="G214" i="2"/>
  <c r="G223" i="2" s="1"/>
  <c r="F214" i="2"/>
  <c r="F223" i="2" s="1"/>
  <c r="J211" i="2"/>
  <c r="I211" i="2"/>
  <c r="F189" i="2"/>
  <c r="H189" i="2"/>
  <c r="E10" i="8" s="1"/>
  <c r="G213" i="2"/>
  <c r="H213" i="2"/>
  <c r="K209" i="2"/>
  <c r="L209" i="2" s="1"/>
  <c r="F213" i="2"/>
  <c r="M208" i="2"/>
  <c r="G195" i="2"/>
  <c r="I181" i="2"/>
  <c r="G189" i="2"/>
  <c r="H195" i="2"/>
  <c r="F192" i="2"/>
  <c r="H192" i="2"/>
  <c r="G192" i="2"/>
  <c r="H216" i="2"/>
  <c r="G216" i="2"/>
  <c r="I185" i="2"/>
  <c r="J185" i="2" s="1"/>
  <c r="K185" i="2" s="1"/>
  <c r="L185" i="2" s="1"/>
  <c r="M185" i="2" s="1"/>
  <c r="I184" i="2"/>
  <c r="J184" i="2" s="1"/>
  <c r="K184" i="2" s="1"/>
  <c r="L184" i="2" s="1"/>
  <c r="M184" i="2" s="1"/>
  <c r="I183" i="2"/>
  <c r="J183" i="2" s="1"/>
  <c r="K183" i="2" s="1"/>
  <c r="L183" i="2" s="1"/>
  <c r="M183" i="2" s="1"/>
  <c r="J182" i="2"/>
  <c r="M54" i="4" l="1"/>
  <c r="E19" i="8"/>
  <c r="E11" i="8"/>
  <c r="E12" i="8" s="1"/>
  <c r="E13" i="8" s="1"/>
  <c r="L335" i="2"/>
  <c r="L9" i="2" s="1"/>
  <c r="L337" i="2"/>
  <c r="K10" i="2"/>
  <c r="K339" i="2"/>
  <c r="J13" i="2"/>
  <c r="L345" i="2"/>
  <c r="K24" i="2"/>
  <c r="K347" i="2"/>
  <c r="J25" i="2"/>
  <c r="K349" i="2"/>
  <c r="J27" i="2"/>
  <c r="L341" i="2"/>
  <c r="L15" i="2" s="1"/>
  <c r="K321" i="2"/>
  <c r="J96" i="2"/>
  <c r="M327" i="2"/>
  <c r="M99" i="2" s="1"/>
  <c r="L99" i="2"/>
  <c r="H295" i="2"/>
  <c r="H314" i="2"/>
  <c r="H316" i="2" s="1"/>
  <c r="F295" i="2"/>
  <c r="F314" i="2"/>
  <c r="F316" i="2" s="1"/>
  <c r="G295" i="2"/>
  <c r="G314" i="2"/>
  <c r="G316" i="2" s="1"/>
  <c r="H256" i="2"/>
  <c r="F219" i="2"/>
  <c r="L298" i="2"/>
  <c r="K55" i="2"/>
  <c r="G219" i="2"/>
  <c r="G222" i="2"/>
  <c r="H219" i="2"/>
  <c r="H222" i="2"/>
  <c r="F200" i="2"/>
  <c r="F222" i="2"/>
  <c r="M209" i="2"/>
  <c r="M211" i="2" s="1"/>
  <c r="L211" i="2"/>
  <c r="K211" i="2"/>
  <c r="I180" i="2"/>
  <c r="I12" i="2"/>
  <c r="I156" i="2" s="1"/>
  <c r="G200" i="2"/>
  <c r="H200" i="2"/>
  <c r="K182" i="2"/>
  <c r="J181" i="2"/>
  <c r="E28" i="8" l="1"/>
  <c r="E29" i="8" s="1"/>
  <c r="E30" i="8" s="1"/>
  <c r="E31" i="8" s="1"/>
  <c r="E20" i="8"/>
  <c r="E21" i="8" s="1"/>
  <c r="E22" i="8" s="1"/>
  <c r="M335" i="2"/>
  <c r="M9" i="2" s="1"/>
  <c r="L349" i="2"/>
  <c r="K27" i="2"/>
  <c r="L347" i="2"/>
  <c r="K25" i="2"/>
  <c r="M345" i="2"/>
  <c r="M24" i="2" s="1"/>
  <c r="L24" i="2"/>
  <c r="L339" i="2"/>
  <c r="K13" i="2"/>
  <c r="M337" i="2"/>
  <c r="M10" i="2" s="1"/>
  <c r="L10" i="2"/>
  <c r="M341" i="2"/>
  <c r="M15" i="2" s="1"/>
  <c r="L321" i="2"/>
  <c r="K96" i="2"/>
  <c r="M298" i="2"/>
  <c r="M55" i="2" s="1"/>
  <c r="L55" i="2"/>
  <c r="J180" i="2"/>
  <c r="J12" i="2"/>
  <c r="J156" i="2" s="1"/>
  <c r="I189" i="2"/>
  <c r="I11" i="2"/>
  <c r="I155" i="2" s="1"/>
  <c r="K181" i="2"/>
  <c r="L182" i="2"/>
  <c r="M339" i="2" l="1"/>
  <c r="M13" i="2" s="1"/>
  <c r="L13" i="2"/>
  <c r="M347" i="2"/>
  <c r="M25" i="2" s="1"/>
  <c r="L25" i="2"/>
  <c r="M349" i="2"/>
  <c r="M27" i="2" s="1"/>
  <c r="L27" i="2"/>
  <c r="M321" i="2"/>
  <c r="M96" i="2" s="1"/>
  <c r="L96" i="2"/>
  <c r="I87" i="2"/>
  <c r="I314" i="2"/>
  <c r="I221" i="2"/>
  <c r="I294" i="2"/>
  <c r="K180" i="2"/>
  <c r="K12" i="2"/>
  <c r="K156" i="2" s="1"/>
  <c r="I201" i="2"/>
  <c r="I47" i="2" s="1"/>
  <c r="J189" i="2"/>
  <c r="J11" i="2"/>
  <c r="J155" i="2" s="1"/>
  <c r="M182" i="2"/>
  <c r="M181" i="2" s="1"/>
  <c r="L181" i="2"/>
  <c r="I23" i="2" l="1"/>
  <c r="I26" i="2"/>
  <c r="J87" i="2"/>
  <c r="J314" i="2"/>
  <c r="J315" i="2" s="1"/>
  <c r="J89" i="2" s="1"/>
  <c r="I28" i="2"/>
  <c r="I51" i="2"/>
  <c r="I296" i="2"/>
  <c r="I52" i="2" s="1"/>
  <c r="J221" i="2"/>
  <c r="J28" i="2" s="1"/>
  <c r="J294" i="2"/>
  <c r="L180" i="2"/>
  <c r="L12" i="2"/>
  <c r="L156" i="2" s="1"/>
  <c r="J201" i="2"/>
  <c r="J47" i="2" s="1"/>
  <c r="K189" i="2"/>
  <c r="K11" i="2"/>
  <c r="K155" i="2" s="1"/>
  <c r="M180" i="2"/>
  <c r="M12" i="2"/>
  <c r="M156" i="2" s="1"/>
  <c r="J26" i="2" l="1"/>
  <c r="J23" i="2"/>
  <c r="K87" i="2"/>
  <c r="K314" i="2"/>
  <c r="K315" i="2" s="1"/>
  <c r="K89" i="2" s="1"/>
  <c r="K221" i="2"/>
  <c r="K28" i="2" s="1"/>
  <c r="K294" i="2"/>
  <c r="J296" i="2"/>
  <c r="J52" i="2" s="1"/>
  <c r="J51" i="2"/>
  <c r="K201" i="2"/>
  <c r="K47" i="2" s="1"/>
  <c r="L189" i="2"/>
  <c r="L11" i="2"/>
  <c r="L155" i="2" s="1"/>
  <c r="M189" i="2"/>
  <c r="M11" i="2"/>
  <c r="M155" i="2" s="1"/>
  <c r="L87" i="2" l="1"/>
  <c r="L314" i="2"/>
  <c r="L315" i="2" s="1"/>
  <c r="L89" i="2" s="1"/>
  <c r="M87" i="2"/>
  <c r="M314" i="2"/>
  <c r="M315" i="2" s="1"/>
  <c r="M89" i="2" s="1"/>
  <c r="K23" i="2"/>
  <c r="K26" i="2"/>
  <c r="M221" i="2"/>
  <c r="M23" i="2" s="1"/>
  <c r="M294" i="2"/>
  <c r="L221" i="2"/>
  <c r="L26" i="2" s="1"/>
  <c r="L294" i="2"/>
  <c r="K296" i="2"/>
  <c r="K52" i="2" s="1"/>
  <c r="K51" i="2"/>
  <c r="L201" i="2"/>
  <c r="L47" i="2" s="1"/>
  <c r="M201" i="2"/>
  <c r="M47" i="2" s="1"/>
  <c r="M26" i="2" l="1"/>
  <c r="L23" i="2"/>
  <c r="L28" i="2"/>
  <c r="M28" i="2"/>
  <c r="L296" i="2"/>
  <c r="L52" i="2" s="1"/>
  <c r="L51" i="2"/>
  <c r="M296" i="2"/>
  <c r="M52" i="2" s="1"/>
  <c r="M51" i="2"/>
  <c r="H36" i="2" l="1"/>
  <c r="H40" i="5" s="1"/>
  <c r="H42" i="5" s="1"/>
  <c r="H45" i="5" s="1"/>
  <c r="G36" i="2"/>
  <c r="G40" i="5" s="1"/>
  <c r="G42" i="5" s="1"/>
  <c r="G45" i="5" s="1"/>
  <c r="H30" i="2"/>
  <c r="G30" i="2"/>
  <c r="H18" i="2"/>
  <c r="G18" i="2"/>
  <c r="H105" i="2"/>
  <c r="H114" i="2" s="1"/>
  <c r="G105" i="2"/>
  <c r="G114" i="2" s="1"/>
  <c r="F105" i="2"/>
  <c r="F114" i="2" s="1"/>
  <c r="M102" i="2"/>
  <c r="L102" i="2"/>
  <c r="K102" i="2"/>
  <c r="J102" i="2"/>
  <c r="I102" i="2"/>
  <c r="H102" i="2"/>
  <c r="G102" i="2"/>
  <c r="F102" i="2"/>
  <c r="G137" i="2" l="1"/>
  <c r="G140" i="2" s="1"/>
  <c r="G148" i="2"/>
  <c r="H137" i="2"/>
  <c r="H140" i="2" s="1"/>
  <c r="H148" i="2"/>
  <c r="G38" i="2"/>
  <c r="G126" i="2"/>
  <c r="G128" i="2" s="1"/>
  <c r="G131" i="2"/>
  <c r="H38" i="2"/>
  <c r="H131" i="2"/>
  <c r="H126" i="2"/>
  <c r="H128" i="2" s="1"/>
  <c r="F25" i="6" s="1"/>
  <c r="F51" i="6" l="1"/>
  <c r="E25" i="6"/>
  <c r="C25" i="6" s="1"/>
  <c r="H132" i="2"/>
  <c r="H141" i="2"/>
  <c r="M60" i="2"/>
  <c r="L60" i="2"/>
  <c r="K60" i="2"/>
  <c r="J60" i="2"/>
  <c r="I60" i="2"/>
  <c r="H60" i="2"/>
  <c r="G60" i="2"/>
  <c r="H224" i="2" s="1"/>
  <c r="F60" i="2"/>
  <c r="G224" i="2" s="1"/>
  <c r="M53" i="2"/>
  <c r="L53" i="2"/>
  <c r="K53" i="2"/>
  <c r="J53" i="2"/>
  <c r="I53" i="2"/>
  <c r="H53" i="2"/>
  <c r="G53" i="2"/>
  <c r="F53" i="2"/>
  <c r="H49" i="2"/>
  <c r="H145" i="2" s="1"/>
  <c r="G49" i="2"/>
  <c r="G145" i="2" s="1"/>
  <c r="M70" i="2"/>
  <c r="L70" i="2"/>
  <c r="K70" i="2"/>
  <c r="J70" i="2"/>
  <c r="I70" i="2"/>
  <c r="H70" i="2"/>
  <c r="G70" i="2"/>
  <c r="F49" i="2"/>
  <c r="F145" i="2" s="1"/>
  <c r="H40" i="2"/>
  <c r="G40" i="2"/>
  <c r="F36" i="2"/>
  <c r="F126" i="2" s="1"/>
  <c r="F30" i="2"/>
  <c r="F18" i="2"/>
  <c r="G5" i="2"/>
  <c r="G4" i="5" l="1"/>
  <c r="G30" i="5" s="1"/>
  <c r="G260" i="2"/>
  <c r="G205" i="2"/>
  <c r="G311" i="2"/>
  <c r="G270" i="2"/>
  <c r="G229" i="2"/>
  <c r="G238" i="2"/>
  <c r="G332" i="2"/>
  <c r="G246" i="2"/>
  <c r="G291" i="2"/>
  <c r="G123" i="2"/>
  <c r="G83" i="2"/>
  <c r="G45" i="2"/>
  <c r="G177" i="2"/>
  <c r="F40" i="5"/>
  <c r="F42" i="5" s="1"/>
  <c r="F45" i="5" s="1"/>
  <c r="F19" i="4"/>
  <c r="F22" i="4" s="1"/>
  <c r="F32" i="4" s="1"/>
  <c r="H5" i="2"/>
  <c r="H260" i="2" s="1"/>
  <c r="F137" i="2"/>
  <c r="F140" i="2" s="1"/>
  <c r="F148" i="2"/>
  <c r="F276" i="2" s="1"/>
  <c r="H62" i="2"/>
  <c r="H73" i="2" s="1"/>
  <c r="F38" i="2"/>
  <c r="F40" i="2" s="1"/>
  <c r="F128" i="2"/>
  <c r="F131" i="2"/>
  <c r="G62" i="2"/>
  <c r="G73" i="2" s="1"/>
  <c r="G240" i="2" s="1"/>
  <c r="G241" i="2" s="1"/>
  <c r="F62" i="2"/>
  <c r="F7" i="6" l="1"/>
  <c r="H4" i="5"/>
  <c r="H30" i="5" s="1"/>
  <c r="E40" i="8"/>
  <c r="H229" i="2"/>
  <c r="H205" i="2"/>
  <c r="H270" i="2"/>
  <c r="H332" i="2"/>
  <c r="H246" i="2"/>
  <c r="H311" i="2"/>
  <c r="H291" i="2"/>
  <c r="H238" i="2"/>
  <c r="H123" i="2"/>
  <c r="H45" i="2"/>
  <c r="H177" i="2"/>
  <c r="H83" i="2"/>
  <c r="G15" i="4"/>
  <c r="H86" i="2"/>
  <c r="H92" i="2" s="1"/>
  <c r="H116" i="2" s="1"/>
  <c r="H118" i="2" s="1"/>
  <c r="H240" i="2"/>
  <c r="H241" i="2" s="1"/>
  <c r="H75" i="2"/>
  <c r="H27" i="6" s="1"/>
  <c r="E27" i="6" s="1"/>
  <c r="C27" i="6" s="1"/>
  <c r="I5" i="2"/>
  <c r="I260" i="2" s="1"/>
  <c r="F141" i="2"/>
  <c r="G141" i="2"/>
  <c r="F132" i="2"/>
  <c r="G132" i="2"/>
  <c r="G75" i="2"/>
  <c r="G86" i="2"/>
  <c r="G92" i="2" s="1"/>
  <c r="G116" i="2" s="1"/>
  <c r="G118" i="2" s="1"/>
  <c r="G154" i="2" s="1"/>
  <c r="F70" i="2"/>
  <c r="F73" i="2" s="1"/>
  <c r="F240" i="2" s="1"/>
  <c r="F241" i="2" s="1"/>
  <c r="J5" i="2" l="1"/>
  <c r="J260" i="2" s="1"/>
  <c r="G7" i="6"/>
  <c r="I4" i="5"/>
  <c r="F37" i="6"/>
  <c r="H7" i="6"/>
  <c r="J7" i="6" s="1"/>
  <c r="I311" i="2"/>
  <c r="I270" i="2"/>
  <c r="I229" i="2"/>
  <c r="I332" i="2"/>
  <c r="I246" i="2"/>
  <c r="I291" i="2"/>
  <c r="I238" i="2"/>
  <c r="I205" i="2"/>
  <c r="I123" i="2"/>
  <c r="I177" i="2"/>
  <c r="I45" i="2"/>
  <c r="I83" i="2"/>
  <c r="G32" i="5"/>
  <c r="G9" i="5"/>
  <c r="G12" i="5" s="1"/>
  <c r="G6" i="4"/>
  <c r="H249" i="2"/>
  <c r="H12" i="4" s="1"/>
  <c r="H32" i="5"/>
  <c r="H9" i="5"/>
  <c r="H6" i="4"/>
  <c r="H154" i="2"/>
  <c r="H162" i="2" s="1"/>
  <c r="H277" i="2" s="1"/>
  <c r="I117" i="2"/>
  <c r="G279" i="2"/>
  <c r="G249" i="2"/>
  <c r="G12" i="4" s="1"/>
  <c r="H133" i="2"/>
  <c r="H134" i="2" s="1"/>
  <c r="H279" i="2"/>
  <c r="H142" i="2"/>
  <c r="H143" i="2" s="1"/>
  <c r="J51" i="6" s="1"/>
  <c r="H51" i="6" s="1"/>
  <c r="E51" i="6" s="1"/>
  <c r="C51" i="6" s="1"/>
  <c r="G162" i="2"/>
  <c r="G277" i="2" s="1"/>
  <c r="G142" i="2"/>
  <c r="G143" i="2" s="1"/>
  <c r="G133" i="2"/>
  <c r="G134" i="2" s="1"/>
  <c r="F75" i="2"/>
  <c r="F86" i="2"/>
  <c r="F92" i="2" s="1"/>
  <c r="F116" i="2" s="1"/>
  <c r="F118" i="2" s="1"/>
  <c r="F154" i="2" s="1"/>
  <c r="H280" i="2" l="1"/>
  <c r="H281" i="2" s="1"/>
  <c r="H286" i="2" s="1"/>
  <c r="H283" i="2"/>
  <c r="H37" i="6"/>
  <c r="B51" i="6" s="1"/>
  <c r="L7" i="6"/>
  <c r="B25" i="6"/>
  <c r="G280" i="2"/>
  <c r="G281" i="2" s="1"/>
  <c r="G286" i="2" s="1"/>
  <c r="G283" i="2"/>
  <c r="I95" i="5"/>
  <c r="I96" i="5" s="1"/>
  <c r="I60" i="5"/>
  <c r="I61" i="5" s="1"/>
  <c r="I30" i="5"/>
  <c r="G37" i="6"/>
  <c r="I7" i="6"/>
  <c r="K7" i="6" s="1"/>
  <c r="K5" i="2"/>
  <c r="K260" i="2" s="1"/>
  <c r="J4" i="5"/>
  <c r="J229" i="2"/>
  <c r="J332" i="2"/>
  <c r="J246" i="2"/>
  <c r="J311" i="2"/>
  <c r="J291" i="2"/>
  <c r="J238" i="2"/>
  <c r="J205" i="2"/>
  <c r="J270" i="2"/>
  <c r="J177" i="2"/>
  <c r="J45" i="2"/>
  <c r="J123" i="2"/>
  <c r="J83" i="2"/>
  <c r="H52" i="5"/>
  <c r="F32" i="5"/>
  <c r="G33" i="5" s="1"/>
  <c r="F9" i="5"/>
  <c r="F6" i="4"/>
  <c r="H16" i="4"/>
  <c r="H7" i="4"/>
  <c r="H12" i="5"/>
  <c r="H10" i="5"/>
  <c r="H33" i="5"/>
  <c r="H36" i="5"/>
  <c r="G16" i="4"/>
  <c r="G24" i="4" s="1"/>
  <c r="G36" i="5"/>
  <c r="G52" i="5"/>
  <c r="F279" i="2"/>
  <c r="F283" i="2" s="1"/>
  <c r="F249" i="2"/>
  <c r="F12" i="4" s="1"/>
  <c r="F162" i="2"/>
  <c r="F277" i="2" s="1"/>
  <c r="F133" i="2"/>
  <c r="F134" i="2" s="1"/>
  <c r="F142" i="2"/>
  <c r="F143" i="2" s="1"/>
  <c r="I37" i="6" l="1"/>
  <c r="B52" i="6" s="1"/>
  <c r="B26" i="6"/>
  <c r="M7" i="6"/>
  <c r="F280" i="2"/>
  <c r="F281" i="2" s="1"/>
  <c r="I115" i="5"/>
  <c r="I77" i="5"/>
  <c r="J95" i="5"/>
  <c r="J96" i="5" s="1"/>
  <c r="J30" i="5"/>
  <c r="J60" i="5"/>
  <c r="J61" i="5" s="1"/>
  <c r="J108" i="5" s="1"/>
  <c r="B27" i="6"/>
  <c r="N7" i="6"/>
  <c r="L5" i="2"/>
  <c r="L260" i="2" s="1"/>
  <c r="K4" i="5"/>
  <c r="K332" i="2"/>
  <c r="K246" i="2"/>
  <c r="K291" i="2"/>
  <c r="K238" i="2"/>
  <c r="K205" i="2"/>
  <c r="K270" i="2"/>
  <c r="K311" i="2"/>
  <c r="K229" i="2"/>
  <c r="K83" i="2"/>
  <c r="K177" i="2"/>
  <c r="K45" i="2"/>
  <c r="K123" i="2"/>
  <c r="G10" i="5"/>
  <c r="F12" i="5"/>
  <c r="F10" i="5"/>
  <c r="F7" i="4"/>
  <c r="F16" i="4"/>
  <c r="F15" i="4" s="1"/>
  <c r="F33" i="5"/>
  <c r="F36" i="5"/>
  <c r="H53" i="5"/>
  <c r="F164" i="2"/>
  <c r="F52" i="5"/>
  <c r="F53" i="5" s="1"/>
  <c r="G19" i="4"/>
  <c r="G22" i="4" s="1"/>
  <c r="G32" i="4" s="1"/>
  <c r="G7" i="4"/>
  <c r="F286" i="2"/>
  <c r="I219" i="2"/>
  <c r="I22" i="2"/>
  <c r="L22" i="2"/>
  <c r="L219" i="2"/>
  <c r="M22" i="2"/>
  <c r="M219" i="2"/>
  <c r="J22" i="2"/>
  <c r="J219" i="2"/>
  <c r="J212" i="2"/>
  <c r="M212" i="2"/>
  <c r="I212" i="2"/>
  <c r="L212" i="2"/>
  <c r="K22" i="2"/>
  <c r="K212" i="2"/>
  <c r="K219" i="2"/>
  <c r="J71" i="5" l="1"/>
  <c r="J37" i="6"/>
  <c r="P7" i="6"/>
  <c r="R7" i="6" s="1"/>
  <c r="O7" i="6"/>
  <c r="B28" i="6"/>
  <c r="K95" i="5"/>
  <c r="K96" i="5" s="1"/>
  <c r="K60" i="5"/>
  <c r="K61" i="5" s="1"/>
  <c r="K108" i="5" s="1"/>
  <c r="K30" i="5"/>
  <c r="M5" i="2"/>
  <c r="L4" i="5"/>
  <c r="J115" i="5"/>
  <c r="J77" i="5"/>
  <c r="F50" i="5"/>
  <c r="F272" i="2"/>
  <c r="L229" i="2"/>
  <c r="L291" i="2"/>
  <c r="L238" i="2"/>
  <c r="L311" i="2"/>
  <c r="L205" i="2"/>
  <c r="L246" i="2"/>
  <c r="L270" i="2"/>
  <c r="L332" i="2"/>
  <c r="L177" i="2"/>
  <c r="L45" i="2"/>
  <c r="L123" i="2"/>
  <c r="L83" i="2"/>
  <c r="H15" i="4"/>
  <c r="H24" i="4" s="1"/>
  <c r="G53" i="5"/>
  <c r="K21" i="2"/>
  <c r="K30" i="2" s="1"/>
  <c r="K214" i="2"/>
  <c r="L21" i="2"/>
  <c r="L30" i="2" s="1"/>
  <c r="L214" i="2"/>
  <c r="M21" i="2"/>
  <c r="M30" i="2" s="1"/>
  <c r="M214" i="2"/>
  <c r="J21" i="2"/>
  <c r="J30" i="2" s="1"/>
  <c r="J214" i="2"/>
  <c r="I21" i="2"/>
  <c r="I30" i="2" s="1"/>
  <c r="I214" i="2"/>
  <c r="J231" i="2"/>
  <c r="H19" i="4" l="1"/>
  <c r="H22" i="4" s="1"/>
  <c r="H32" i="4" s="1"/>
  <c r="M4" i="5"/>
  <c r="M260" i="2"/>
  <c r="K71" i="5"/>
  <c r="N60" i="5"/>
  <c r="N61" i="5" s="1"/>
  <c r="N115" i="5" s="1"/>
  <c r="M95" i="5"/>
  <c r="M96" i="5" s="1"/>
  <c r="M60" i="5"/>
  <c r="M61" i="5" s="1"/>
  <c r="N95" i="5"/>
  <c r="N96" i="5" s="1"/>
  <c r="F104" i="5" s="1"/>
  <c r="M30" i="5"/>
  <c r="Q7" i="6"/>
  <c r="K37" i="6"/>
  <c r="L60" i="5"/>
  <c r="L61" i="5" s="1"/>
  <c r="L108" i="5" s="1"/>
  <c r="L95" i="5"/>
  <c r="L96" i="5" s="1"/>
  <c r="L30" i="5"/>
  <c r="K77" i="5"/>
  <c r="K115" i="5"/>
  <c r="M332" i="2"/>
  <c r="M246" i="2"/>
  <c r="M291" i="2"/>
  <c r="M238" i="2"/>
  <c r="M270" i="2"/>
  <c r="M229" i="2"/>
  <c r="M205" i="2"/>
  <c r="M311" i="2"/>
  <c r="M177" i="2"/>
  <c r="M45" i="2"/>
  <c r="M83" i="2"/>
  <c r="M123" i="2"/>
  <c r="B24" i="3" s="1"/>
  <c r="I15" i="4"/>
  <c r="I223" i="2"/>
  <c r="I225" i="2" s="1"/>
  <c r="I48" i="2" s="1"/>
  <c r="I49" i="2" s="1"/>
  <c r="I145" i="2" s="1"/>
  <c r="I88" i="2"/>
  <c r="J223" i="2"/>
  <c r="J225" i="2" s="1"/>
  <c r="J48" i="2" s="1"/>
  <c r="J49" i="2" s="1"/>
  <c r="J88" i="2"/>
  <c r="M223" i="2"/>
  <c r="M225" i="2" s="1"/>
  <c r="M48" i="2" s="1"/>
  <c r="M49" i="2" s="1"/>
  <c r="M145" i="2" s="1"/>
  <c r="M88" i="2"/>
  <c r="L223" i="2"/>
  <c r="L225" i="2" s="1"/>
  <c r="L48" i="2" s="1"/>
  <c r="L49" i="2" s="1"/>
  <c r="L145" i="2" s="1"/>
  <c r="L88" i="2"/>
  <c r="K223" i="2"/>
  <c r="K225" i="2" s="1"/>
  <c r="K48" i="2" s="1"/>
  <c r="K49" i="2" s="1"/>
  <c r="K145" i="2" s="1"/>
  <c r="K88" i="2"/>
  <c r="J234" i="2"/>
  <c r="K231" i="2" s="1"/>
  <c r="L71" i="5" l="1"/>
  <c r="M115" i="5"/>
  <c r="M77" i="5"/>
  <c r="N108" i="5"/>
  <c r="L77" i="5"/>
  <c r="M71" i="5"/>
  <c r="L115" i="5"/>
  <c r="M108" i="5"/>
  <c r="B16" i="3"/>
  <c r="J145" i="2"/>
  <c r="J62" i="2"/>
  <c r="J73" i="2" s="1"/>
  <c r="I62" i="2"/>
  <c r="I73" i="2" s="1"/>
  <c r="I86" i="2" s="1"/>
  <c r="L62" i="2"/>
  <c r="L73" i="2" s="1"/>
  <c r="L86" i="2" s="1"/>
  <c r="K62" i="2"/>
  <c r="K73" i="2" s="1"/>
  <c r="K86" i="2" s="1"/>
  <c r="M62" i="2"/>
  <c r="M73" i="2" s="1"/>
  <c r="M86" i="2" s="1"/>
  <c r="K234" i="2"/>
  <c r="L231" i="2" s="1"/>
  <c r="K240" i="2" l="1"/>
  <c r="K242" i="2" s="1"/>
  <c r="K74" i="2" s="1"/>
  <c r="K75" i="2" s="1"/>
  <c r="L240" i="2"/>
  <c r="L242" i="2" s="1"/>
  <c r="L74" i="2" s="1"/>
  <c r="L75" i="2" s="1"/>
  <c r="J86" i="2"/>
  <c r="J240" i="2"/>
  <c r="J242" i="2" s="1"/>
  <c r="J74" i="2" s="1"/>
  <c r="I240" i="2"/>
  <c r="I242" i="2" s="1"/>
  <c r="I74" i="2" s="1"/>
  <c r="M240" i="2"/>
  <c r="M242" i="2" s="1"/>
  <c r="M74" i="2" s="1"/>
  <c r="L90" i="2"/>
  <c r="L92" i="2" s="1"/>
  <c r="L234" i="2"/>
  <c r="M231" i="2" s="1"/>
  <c r="K90" i="2" l="1"/>
  <c r="K92" i="2" s="1"/>
  <c r="L249" i="2"/>
  <c r="L32" i="5"/>
  <c r="L9" i="5"/>
  <c r="L6" i="4"/>
  <c r="K249" i="2"/>
  <c r="K32" i="5"/>
  <c r="K9" i="5"/>
  <c r="K6" i="4"/>
  <c r="J75" i="2"/>
  <c r="J90" i="2"/>
  <c r="J92" i="2" s="1"/>
  <c r="I75" i="2"/>
  <c r="I28" i="6" s="1"/>
  <c r="E28" i="6" s="1"/>
  <c r="C28" i="6" s="1"/>
  <c r="I90" i="2"/>
  <c r="L133" i="2"/>
  <c r="L279" i="2"/>
  <c r="L284" i="2" s="1"/>
  <c r="L142" i="2"/>
  <c r="K279" i="2"/>
  <c r="K284" i="2" s="1"/>
  <c r="K133" i="2"/>
  <c r="K142" i="2"/>
  <c r="M75" i="2"/>
  <c r="M90" i="2"/>
  <c r="M92" i="2" s="1"/>
  <c r="M234" i="2"/>
  <c r="J9" i="5" l="1"/>
  <c r="J32" i="5"/>
  <c r="J6" i="4"/>
  <c r="K7" i="4"/>
  <c r="K16" i="4"/>
  <c r="I133" i="2"/>
  <c r="I9" i="5"/>
  <c r="I10" i="5" s="1"/>
  <c r="I32" i="5"/>
  <c r="I33" i="5" s="1"/>
  <c r="I6" i="4"/>
  <c r="M32" i="5"/>
  <c r="M9" i="5"/>
  <c r="M10" i="5" s="1"/>
  <c r="M6" i="4"/>
  <c r="L7" i="4"/>
  <c r="L16" i="4"/>
  <c r="L10" i="5"/>
  <c r="L33" i="5"/>
  <c r="K33" i="5"/>
  <c r="I142" i="2"/>
  <c r="I279" i="2"/>
  <c r="I249" i="2"/>
  <c r="J279" i="2"/>
  <c r="J284" i="2" s="1"/>
  <c r="J249" i="2"/>
  <c r="J142" i="2"/>
  <c r="J133" i="2"/>
  <c r="M279" i="2"/>
  <c r="M284" i="2" s="1"/>
  <c r="M249" i="2"/>
  <c r="M142" i="2"/>
  <c r="M133" i="2"/>
  <c r="I284" i="2" l="1"/>
  <c r="J10" i="5"/>
  <c r="M7" i="4"/>
  <c r="M16" i="4"/>
  <c r="I7" i="4"/>
  <c r="I16" i="4"/>
  <c r="M33" i="5"/>
  <c r="J7" i="4"/>
  <c r="J16" i="4"/>
  <c r="K10" i="5"/>
  <c r="J33" i="5"/>
  <c r="I24" i="4" l="1"/>
  <c r="I27" i="4"/>
  <c r="I45" i="4"/>
  <c r="I55" i="4" l="1"/>
  <c r="I57" i="4" s="1"/>
  <c r="I48" i="4"/>
  <c r="I50" i="4"/>
  <c r="I62" i="4"/>
  <c r="I64" i="4" s="1"/>
  <c r="I315" i="2" l="1"/>
  <c r="I89" i="2" s="1"/>
  <c r="I92" i="2" s="1"/>
  <c r="N42" i="5" l="1"/>
  <c r="N45" i="5" s="1"/>
  <c r="M250" i="2" l="1"/>
  <c r="M77" i="2"/>
  <c r="M34" i="5" s="1"/>
  <c r="L77" i="2"/>
  <c r="L250" i="2"/>
  <c r="K77" i="2"/>
  <c r="K250" i="2"/>
  <c r="J250" i="2"/>
  <c r="J77" i="2"/>
  <c r="I250" i="2"/>
  <c r="I77" i="2"/>
  <c r="M11" i="5" l="1"/>
  <c r="M37" i="5"/>
  <c r="M8" i="4"/>
  <c r="M17" i="4" s="1"/>
  <c r="M105" i="2"/>
  <c r="L105" i="2"/>
  <c r="L11" i="5"/>
  <c r="L34" i="5"/>
  <c r="L8" i="4"/>
  <c r="L17" i="4" s="1"/>
  <c r="M9" i="4"/>
  <c r="K105" i="2"/>
  <c r="K8" i="4"/>
  <c r="K17" i="4" s="1"/>
  <c r="K34" i="5"/>
  <c r="K11" i="5"/>
  <c r="L9" i="4"/>
  <c r="J34" i="5"/>
  <c r="J105" i="2"/>
  <c r="J11" i="5"/>
  <c r="J8" i="4"/>
  <c r="J17" i="4" s="1"/>
  <c r="K9" i="4"/>
  <c r="I34" i="5"/>
  <c r="I8" i="4"/>
  <c r="I17" i="4" s="1"/>
  <c r="J9" i="4"/>
  <c r="I11" i="5"/>
  <c r="I9" i="4"/>
  <c r="I105" i="2"/>
  <c r="M12" i="5" l="1"/>
  <c r="M14" i="5"/>
  <c r="M98" i="5"/>
  <c r="M63" i="5"/>
  <c r="M66" i="5" s="1"/>
  <c r="M72" i="5" s="1"/>
  <c r="M78" i="5" s="1"/>
  <c r="L37" i="5"/>
  <c r="M35" i="5"/>
  <c r="L12" i="5"/>
  <c r="L63" i="5"/>
  <c r="L66" i="5" s="1"/>
  <c r="L14" i="5"/>
  <c r="L19" i="5" s="1"/>
  <c r="L98" i="5"/>
  <c r="K37" i="5"/>
  <c r="L35" i="5"/>
  <c r="K12" i="5"/>
  <c r="K14" i="5"/>
  <c r="K19" i="5" s="1"/>
  <c r="K98" i="5"/>
  <c r="K63" i="5"/>
  <c r="K66" i="5" s="1"/>
  <c r="J12" i="5"/>
  <c r="J14" i="5"/>
  <c r="J19" i="5" s="1"/>
  <c r="J63" i="5"/>
  <c r="J66" i="5" s="1"/>
  <c r="J98" i="5"/>
  <c r="J37" i="5"/>
  <c r="K35" i="5"/>
  <c r="I12" i="5"/>
  <c r="I14" i="5"/>
  <c r="I19" i="5" s="1"/>
  <c r="I63" i="5"/>
  <c r="I66" i="5" s="1"/>
  <c r="I98" i="5"/>
  <c r="I37" i="5"/>
  <c r="J35" i="5"/>
  <c r="I35" i="5"/>
  <c r="M116" i="5" l="1"/>
  <c r="M118" i="5" s="1"/>
  <c r="M102" i="5"/>
  <c r="L16" i="5"/>
  <c r="L102" i="5"/>
  <c r="L116" i="5"/>
  <c r="L118" i="5" s="1"/>
  <c r="L72" i="5"/>
  <c r="L78" i="5" s="1"/>
  <c r="L68" i="5"/>
  <c r="K72" i="5"/>
  <c r="K78" i="5" s="1"/>
  <c r="K68" i="5"/>
  <c r="K16" i="5"/>
  <c r="K116" i="5"/>
  <c r="K118" i="5" s="1"/>
  <c r="K102" i="5"/>
  <c r="J116" i="5"/>
  <c r="J118" i="5" s="1"/>
  <c r="J102" i="5"/>
  <c r="J68" i="5"/>
  <c r="J72" i="5"/>
  <c r="J78" i="5" s="1"/>
  <c r="J16" i="5"/>
  <c r="I116" i="5"/>
  <c r="I118" i="5" s="1"/>
  <c r="I102" i="5"/>
  <c r="I68" i="5"/>
  <c r="I72" i="5"/>
  <c r="I78" i="5" s="1"/>
  <c r="I16" i="5"/>
  <c r="M104" i="5" l="1"/>
  <c r="M109" i="5"/>
  <c r="M111" i="5" s="1"/>
  <c r="L74" i="5"/>
  <c r="L79" i="5"/>
  <c r="L80" i="5" s="1"/>
  <c r="L109" i="5"/>
  <c r="L111" i="5" s="1"/>
  <c r="L104" i="5"/>
  <c r="K109" i="5"/>
  <c r="K111" i="5" s="1"/>
  <c r="K104" i="5"/>
  <c r="K74" i="5"/>
  <c r="K79" i="5"/>
  <c r="K80" i="5" s="1"/>
  <c r="J74" i="5"/>
  <c r="J79" i="5"/>
  <c r="J80" i="5" s="1"/>
  <c r="J109" i="5"/>
  <c r="J111" i="5" s="1"/>
  <c r="J104" i="5"/>
  <c r="I74" i="5"/>
  <c r="I109" i="5"/>
  <c r="I111" i="5" s="1"/>
  <c r="I104" i="5"/>
  <c r="I79" i="5" l="1"/>
  <c r="I80" i="5" s="1"/>
  <c r="N116" i="5" l="1"/>
  <c r="N102" i="5"/>
  <c r="N109" i="5" l="1"/>
  <c r="G151" i="2" l="1"/>
  <c r="G276" i="2" s="1"/>
  <c r="G164" i="2" l="1"/>
  <c r="G50" i="5" l="1"/>
  <c r="G272" i="2"/>
  <c r="H151" i="2"/>
  <c r="H164" i="2" s="1"/>
  <c r="H50" i="5" s="1"/>
  <c r="H276" i="2" l="1"/>
  <c r="I287" i="2" s="1"/>
  <c r="I281" i="2" s="1"/>
  <c r="H272" i="2"/>
  <c r="I251" i="2"/>
  <c r="I107" i="2"/>
  <c r="I114" i="2" s="1"/>
  <c r="I116" i="2" s="1"/>
  <c r="I118" i="2" s="1"/>
  <c r="I280" i="2"/>
  <c r="I286" i="2"/>
  <c r="I78" i="2" l="1"/>
  <c r="I8" i="2"/>
  <c r="I18" i="2" s="1"/>
  <c r="J117" i="2"/>
  <c r="I154" i="2"/>
  <c r="I162" i="2" s="1"/>
  <c r="I263" i="2"/>
  <c r="I265" i="2" s="1"/>
  <c r="I266" i="2" s="1"/>
  <c r="I252" i="2"/>
  <c r="I12" i="4"/>
  <c r="I10" i="4"/>
  <c r="I18" i="4" s="1"/>
  <c r="I19" i="4" s="1"/>
  <c r="I11" i="4"/>
  <c r="I22" i="4" l="1"/>
  <c r="I32" i="4" s="1"/>
  <c r="J27" i="4"/>
  <c r="J45" i="4" s="1"/>
  <c r="J15" i="4"/>
  <c r="J24" i="4" s="1"/>
  <c r="J262" i="2"/>
  <c r="I21" i="5"/>
  <c r="I254" i="2"/>
  <c r="I256" i="2" s="1"/>
  <c r="I34" i="2"/>
  <c r="I277" i="2"/>
  <c r="I52" i="5"/>
  <c r="I53" i="5" l="1"/>
  <c r="I49" i="5"/>
  <c r="I36" i="2"/>
  <c r="I138" i="2"/>
  <c r="J48" i="4"/>
  <c r="J55" i="4"/>
  <c r="J57" i="4" s="1"/>
  <c r="I82" i="5"/>
  <c r="I22" i="5"/>
  <c r="I83" i="5" l="1"/>
  <c r="I120" i="5"/>
  <c r="I121" i="5" s="1"/>
  <c r="J50" i="4"/>
  <c r="J62" i="4"/>
  <c r="J64" i="4" s="1"/>
  <c r="I131" i="2"/>
  <c r="I38" i="2"/>
  <c r="I40" i="2" s="1"/>
  <c r="I148" i="2"/>
  <c r="I151" i="2" s="1"/>
  <c r="I126" i="2"/>
  <c r="I128" i="2" s="1"/>
  <c r="G26" i="6" s="1"/>
  <c r="I137" i="2"/>
  <c r="I140" i="2" s="1"/>
  <c r="I40" i="5"/>
  <c r="I42" i="5" s="1"/>
  <c r="I45" i="5" s="1"/>
  <c r="I141" i="2" l="1"/>
  <c r="I143" i="2" s="1"/>
  <c r="K52" i="6" s="1"/>
  <c r="I52" i="6" s="1"/>
  <c r="G52" i="6"/>
  <c r="E46" i="7"/>
  <c r="E26" i="6"/>
  <c r="C26" i="6" s="1"/>
  <c r="H46" i="7"/>
  <c r="G46" i="7"/>
  <c r="F46" i="7" s="1"/>
  <c r="I276" i="2"/>
  <c r="J287" i="2" s="1"/>
  <c r="I164" i="2"/>
  <c r="I132" i="2"/>
  <c r="I134" i="2" s="1"/>
  <c r="J78" i="2" l="1"/>
  <c r="J280" i="2"/>
  <c r="J251" i="2"/>
  <c r="J286" i="2"/>
  <c r="J281" i="2"/>
  <c r="J107" i="2"/>
  <c r="J114" i="2" s="1"/>
  <c r="J116" i="2" s="1"/>
  <c r="J118" i="2" s="1"/>
  <c r="E52" i="6"/>
  <c r="C52" i="6" s="1"/>
  <c r="I50" i="5"/>
  <c r="I272" i="2"/>
  <c r="H47" i="7" l="1"/>
  <c r="C59" i="6"/>
  <c r="J263" i="2"/>
  <c r="J265" i="2" s="1"/>
  <c r="J266" i="2" s="1"/>
  <c r="J12" i="4"/>
  <c r="J252" i="2"/>
  <c r="J11" i="4"/>
  <c r="J10" i="4"/>
  <c r="J18" i="4" s="1"/>
  <c r="J19" i="4" s="1"/>
  <c r="K117" i="2"/>
  <c r="J8" i="2"/>
  <c r="J18" i="2" s="1"/>
  <c r="J154" i="2"/>
  <c r="J162" i="2" s="1"/>
  <c r="J22" i="4" l="1"/>
  <c r="J32" i="4" s="1"/>
  <c r="K27" i="4"/>
  <c r="J52" i="5"/>
  <c r="J277" i="2"/>
  <c r="K15" i="4"/>
  <c r="K24" i="4" s="1"/>
  <c r="K45" i="4"/>
  <c r="J34" i="2"/>
  <c r="J254" i="2"/>
  <c r="J256" i="2" s="1"/>
  <c r="K262" i="2"/>
  <c r="J21" i="5"/>
  <c r="J22" i="5" l="1"/>
  <c r="J82" i="5"/>
  <c r="J36" i="2"/>
  <c r="J138" i="2"/>
  <c r="K55" i="4"/>
  <c r="K57" i="4" s="1"/>
  <c r="K48" i="4"/>
  <c r="J49" i="5"/>
  <c r="J53" i="5"/>
  <c r="J38" i="2" l="1"/>
  <c r="J40" i="2" s="1"/>
  <c r="J137" i="2"/>
  <c r="J140" i="2" s="1"/>
  <c r="J40" i="5"/>
  <c r="J42" i="5" s="1"/>
  <c r="J45" i="5" s="1"/>
  <c r="J131" i="2"/>
  <c r="J148" i="2"/>
  <c r="J151" i="2" s="1"/>
  <c r="J126" i="2"/>
  <c r="J128" i="2" s="1"/>
  <c r="J120" i="5"/>
  <c r="J121" i="5" s="1"/>
  <c r="J83" i="5"/>
  <c r="K50" i="4"/>
  <c r="K62" i="4"/>
  <c r="K64" i="4" s="1"/>
  <c r="J132" i="2" l="1"/>
  <c r="J134" i="2" s="1"/>
  <c r="J141" i="2"/>
  <c r="J143" i="2" s="1"/>
  <c r="J164" i="2"/>
  <c r="J276" i="2"/>
  <c r="K287" i="2" s="1"/>
  <c r="J272" i="2" l="1"/>
  <c r="J50" i="5"/>
  <c r="K280" i="2"/>
  <c r="K286" i="2"/>
  <c r="K251" i="2"/>
  <c r="K281" i="2"/>
  <c r="K78" i="2"/>
  <c r="K107" i="2"/>
  <c r="K114" i="2" s="1"/>
  <c r="K116" i="2" s="1"/>
  <c r="K118" i="2" s="1"/>
  <c r="K11" i="4" l="1"/>
  <c r="K10" i="4"/>
  <c r="K18" i="4" s="1"/>
  <c r="K19" i="4" s="1"/>
  <c r="L117" i="2"/>
  <c r="K154" i="2"/>
  <c r="K162" i="2" s="1"/>
  <c r="K8" i="2"/>
  <c r="K18" i="2" s="1"/>
  <c r="K263" i="2"/>
  <c r="K265" i="2" s="1"/>
  <c r="K266" i="2" s="1"/>
  <c r="K12" i="4"/>
  <c r="K252" i="2"/>
  <c r="K22" i="4" l="1"/>
  <c r="K32" i="4" s="1"/>
  <c r="L27" i="4"/>
  <c r="K21" i="5"/>
  <c r="L262" i="2"/>
  <c r="K34" i="2"/>
  <c r="K254" i="2"/>
  <c r="K256" i="2" s="1"/>
  <c r="K277" i="2"/>
  <c r="K52" i="5"/>
  <c r="L15" i="4"/>
  <c r="L24" i="4" s="1"/>
  <c r="L45" i="4"/>
  <c r="L55" i="4" l="1"/>
  <c r="L57" i="4" s="1"/>
  <c r="L48" i="4"/>
  <c r="K53" i="5"/>
  <c r="K49" i="5"/>
  <c r="K138" i="2"/>
  <c r="K36" i="2"/>
  <c r="K22" i="5"/>
  <c r="K82" i="5"/>
  <c r="K120" i="5" l="1"/>
  <c r="K121" i="5" s="1"/>
  <c r="K83" i="5"/>
  <c r="L62" i="4"/>
  <c r="L64" i="4" s="1"/>
  <c r="L50" i="4"/>
  <c r="K38" i="2"/>
  <c r="K40" i="2" s="1"/>
  <c r="K131" i="2"/>
  <c r="K137" i="2"/>
  <c r="K140" i="2" s="1"/>
  <c r="K40" i="5"/>
  <c r="K42" i="5" s="1"/>
  <c r="K45" i="5" s="1"/>
  <c r="K126" i="2"/>
  <c r="K128" i="2" s="1"/>
  <c r="K148" i="2"/>
  <c r="K151" i="2" s="1"/>
  <c r="K132" i="2" l="1"/>
  <c r="K134" i="2" s="1"/>
  <c r="K164" i="2"/>
  <c r="K276" i="2"/>
  <c r="L287" i="2" s="1"/>
  <c r="K141" i="2"/>
  <c r="K143" i="2" s="1"/>
  <c r="M68" i="4"/>
  <c r="L281" i="2" l="1"/>
  <c r="L251" i="2"/>
  <c r="L280" i="2"/>
  <c r="L286" i="2"/>
  <c r="L107" i="2"/>
  <c r="L114" i="2" s="1"/>
  <c r="L116" i="2" s="1"/>
  <c r="L118" i="2" s="1"/>
  <c r="L78" i="2"/>
  <c r="K272" i="2"/>
  <c r="K50" i="5"/>
  <c r="L11" i="4" l="1"/>
  <c r="L10" i="4"/>
  <c r="L18" i="4" s="1"/>
  <c r="L19" i="4" s="1"/>
  <c r="L8" i="2"/>
  <c r="L18" i="2" s="1"/>
  <c r="M117" i="2"/>
  <c r="L154" i="2"/>
  <c r="L162" i="2" s="1"/>
  <c r="L12" i="4"/>
  <c r="L263" i="2"/>
  <c r="L265" i="2" s="1"/>
  <c r="L266" i="2" s="1"/>
  <c r="L252" i="2"/>
  <c r="L22" i="4" l="1"/>
  <c r="L32" i="4" s="1"/>
  <c r="M27" i="4"/>
  <c r="M262" i="2"/>
  <c r="L21" i="5"/>
  <c r="L34" i="2"/>
  <c r="L254" i="2"/>
  <c r="L256" i="2" s="1"/>
  <c r="L52" i="5"/>
  <c r="L277" i="2"/>
  <c r="M15" i="4"/>
  <c r="M24" i="4" s="1"/>
  <c r="M45" i="4"/>
  <c r="M48" i="4" l="1"/>
  <c r="M55" i="4"/>
  <c r="L138" i="2"/>
  <c r="L36" i="2"/>
  <c r="L49" i="5"/>
  <c r="L53" i="5"/>
  <c r="L82" i="5"/>
  <c r="L22" i="5"/>
  <c r="L83" i="5" l="1"/>
  <c r="M86" i="5" s="1"/>
  <c r="L120" i="5"/>
  <c r="L121" i="5" s="1"/>
  <c r="L40" i="5"/>
  <c r="L42" i="5" s="1"/>
  <c r="L45" i="5" s="1"/>
  <c r="L137" i="2"/>
  <c r="L140" i="2" s="1"/>
  <c r="L126" i="2"/>
  <c r="L128" i="2" s="1"/>
  <c r="L148" i="2"/>
  <c r="L151" i="2" s="1"/>
  <c r="L38" i="2"/>
  <c r="L40" i="2" s="1"/>
  <c r="L131" i="2"/>
  <c r="M62" i="4"/>
  <c r="L132" i="2" l="1"/>
  <c r="L134" i="2" s="1"/>
  <c r="L276" i="2"/>
  <c r="M287" i="2" s="1"/>
  <c r="L164" i="2"/>
  <c r="L141" i="2"/>
  <c r="L143" i="2" s="1"/>
  <c r="M251" i="2" l="1"/>
  <c r="M78" i="2"/>
  <c r="M107" i="2"/>
  <c r="M114" i="2" s="1"/>
  <c r="M116" i="2" s="1"/>
  <c r="M118" i="2" s="1"/>
  <c r="M281" i="2"/>
  <c r="M280" i="2"/>
  <c r="H17" i="3" s="1"/>
  <c r="M286" i="2"/>
  <c r="L272" i="2"/>
  <c r="L50" i="5"/>
  <c r="M154" i="2" l="1"/>
  <c r="M162" i="2" s="1"/>
  <c r="M8" i="2"/>
  <c r="M18" i="2" s="1"/>
  <c r="M11" i="4"/>
  <c r="M10" i="4"/>
  <c r="M263" i="2"/>
  <c r="M265" i="2" s="1"/>
  <c r="M266" i="2" s="1"/>
  <c r="M21" i="5" s="1"/>
  <c r="M82" i="5" s="1"/>
  <c r="M120" i="5" s="1"/>
  <c r="M12" i="4"/>
  <c r="M252" i="2"/>
  <c r="M254" i="2" l="1"/>
  <c r="M256" i="2" s="1"/>
  <c r="M34" i="2"/>
  <c r="M18" i="4"/>
  <c r="M19" i="4" s="1"/>
  <c r="M22" i="4" s="1"/>
  <c r="M32" i="4" s="1"/>
  <c r="N120" i="5"/>
  <c r="M121" i="5"/>
  <c r="M124" i="5" s="1"/>
  <c r="M277" i="2"/>
  <c r="M52" i="5"/>
  <c r="M53" i="5" l="1"/>
  <c r="M49" i="5"/>
  <c r="N15" i="4"/>
  <c r="M36" i="2"/>
  <c r="M138" i="2"/>
  <c r="M131" i="2" l="1"/>
  <c r="M132" i="2" s="1"/>
  <c r="M134" i="2" s="1"/>
  <c r="H16" i="3" s="1"/>
  <c r="H20" i="3" s="1"/>
  <c r="M38" i="2"/>
  <c r="M40" i="2" s="1"/>
  <c r="M137" i="2"/>
  <c r="M140" i="2" s="1"/>
  <c r="M141" i="2" s="1"/>
  <c r="M143" i="2" s="1"/>
  <c r="H24" i="3" s="1"/>
  <c r="M40" i="5"/>
  <c r="M42" i="5" s="1"/>
  <c r="M45" i="5" s="1"/>
  <c r="M148" i="2"/>
  <c r="M151" i="2" s="1"/>
  <c r="M126" i="2"/>
  <c r="M128" i="2" s="1"/>
  <c r="N99" i="5" s="1"/>
  <c r="M276" i="2" l="1"/>
  <c r="M164" i="2"/>
  <c r="N117" i="5"/>
  <c r="N9" i="4"/>
  <c r="H26" i="3"/>
  <c r="H27" i="3" s="1"/>
  <c r="D96" i="5" s="1"/>
  <c r="N103" i="5" s="1"/>
  <c r="N53" i="5"/>
  <c r="N52" i="5" s="1"/>
  <c r="N49" i="5" s="1"/>
  <c r="N50" i="5" s="1"/>
  <c r="N35" i="5"/>
  <c r="N34" i="5" s="1"/>
  <c r="N11" i="4"/>
  <c r="N10" i="4" s="1"/>
  <c r="N18" i="4" s="1"/>
  <c r="N7" i="4"/>
  <c r="N6" i="4" s="1"/>
  <c r="N16" i="4" s="1"/>
  <c r="N33" i="5"/>
  <c r="N32" i="5" s="1"/>
  <c r="D43" i="4"/>
  <c r="D7" i="5"/>
  <c r="N24" i="4" l="1"/>
  <c r="N27" i="4"/>
  <c r="N104" i="5"/>
  <c r="N110" i="5"/>
  <c r="N111" i="5" s="1"/>
  <c r="N118" i="5" s="1"/>
  <c r="N121" i="5" s="1"/>
  <c r="M125" i="5" s="1"/>
  <c r="N37" i="5"/>
  <c r="N11" i="5"/>
  <c r="D61" i="5"/>
  <c r="N45" i="4"/>
  <c r="M49" i="4" s="1"/>
  <c r="M272" i="2"/>
  <c r="M50" i="5"/>
  <c r="N63" i="5" l="1"/>
  <c r="M67" i="5" s="1"/>
  <c r="N8" i="4"/>
  <c r="M15" i="5"/>
  <c r="M16" i="5" s="1"/>
  <c r="M19" i="5" s="1"/>
  <c r="M22" i="5" s="1"/>
  <c r="H25" i="5" s="1"/>
  <c r="M56" i="4"/>
  <c r="M57" i="4" s="1"/>
  <c r="H69" i="4" s="1"/>
  <c r="M63" i="4"/>
  <c r="M64" i="4" s="1"/>
  <c r="M50" i="4"/>
  <c r="M126" i="5"/>
  <c r="H43" i="7" l="1"/>
  <c r="C145" i="5"/>
  <c r="E124" i="5"/>
  <c r="E125" i="5"/>
  <c r="M69" i="4"/>
  <c r="H68" i="4"/>
  <c r="N12" i="4"/>
  <c r="N17" i="4"/>
  <c r="N19" i="4" s="1"/>
  <c r="N22" i="4" s="1"/>
  <c r="N32" i="4" s="1"/>
  <c r="M68" i="5"/>
  <c r="M74" i="5" s="1"/>
  <c r="M73" i="5"/>
  <c r="M79" i="5" s="1"/>
  <c r="M80" i="5" s="1"/>
  <c r="M83" i="5" s="1"/>
  <c r="M87" i="5" s="1"/>
  <c r="M88" i="5" l="1"/>
  <c r="M70" i="4"/>
  <c r="M71" i="4"/>
  <c r="M75" i="4" s="1"/>
  <c r="M77" i="4" s="1"/>
  <c r="H44" i="7" l="1"/>
  <c r="D85" i="4"/>
  <c r="H42" i="7"/>
  <c r="C134" i="5"/>
  <c r="E86" i="5"/>
  <c r="E87" i="5"/>
  <c r="I49" i="7" l="1"/>
  <c r="E24" i="1" l="1"/>
  <c r="E26" i="1" s="1"/>
  <c r="E23" i="1" s="1"/>
  <c r="D49" i="7"/>
</calcChain>
</file>

<file path=xl/sharedStrings.xml><?xml version="1.0" encoding="utf-8"?>
<sst xmlns="http://schemas.openxmlformats.org/spreadsheetml/2006/main" count="697" uniqueCount="376">
  <si>
    <t>Table of Contents</t>
  </si>
  <si>
    <t>Time Horizon: 5 Years</t>
  </si>
  <si>
    <t xml:space="preserve"> </t>
  </si>
  <si>
    <t>Key Outputs</t>
  </si>
  <si>
    <t>Valuation Summary</t>
  </si>
  <si>
    <t>Current Price:</t>
  </si>
  <si>
    <t>Rating:</t>
  </si>
  <si>
    <t>Currency: GBP</t>
  </si>
  <si>
    <t>Units: GBP mn</t>
  </si>
  <si>
    <t>Balance Sheet</t>
  </si>
  <si>
    <t>All figures in GBP(£) millions unless stated</t>
  </si>
  <si>
    <t>ASSETS</t>
  </si>
  <si>
    <t>Other Assets</t>
  </si>
  <si>
    <t>Liabilities</t>
  </si>
  <si>
    <t>Customer Deposits</t>
  </si>
  <si>
    <t>Deposits from Banks</t>
  </si>
  <si>
    <t>Other Liabilities</t>
  </si>
  <si>
    <t>Total Assets</t>
  </si>
  <si>
    <t>Total Liabilities</t>
  </si>
  <si>
    <t>Equity</t>
  </si>
  <si>
    <t>Retained Earnings</t>
  </si>
  <si>
    <t>Other Reserves</t>
  </si>
  <si>
    <t>Total Shareholders’ Equity</t>
  </si>
  <si>
    <t>Check</t>
  </si>
  <si>
    <t>Financial Assets – FVTP&amp;L</t>
  </si>
  <si>
    <t>Financial Assets – FVTOCI</t>
  </si>
  <si>
    <t>Insurance &amp; Investment Liabilities</t>
  </si>
  <si>
    <t>Other equity Instruments</t>
  </si>
  <si>
    <t>Total Equity</t>
  </si>
  <si>
    <t>Income Sheet</t>
  </si>
  <si>
    <t>Interest Income</t>
  </si>
  <si>
    <t>Interest Expense</t>
  </si>
  <si>
    <t>Net interest Income</t>
  </si>
  <si>
    <t>Cash and Balances at Central Banks</t>
  </si>
  <si>
    <t>Derivative Financial Instruments</t>
  </si>
  <si>
    <t>Loans and Advances to Banks</t>
  </si>
  <si>
    <t>Loans and Advances to Customers</t>
  </si>
  <si>
    <t>Reverse Repurchase Agreements</t>
  </si>
  <si>
    <t>Debt Securities</t>
  </si>
  <si>
    <t>Goodwill and Other Intangible Assets</t>
  </si>
  <si>
    <t>Repurchase Agreements at Amortized Cost</t>
  </si>
  <si>
    <t>Financial Liabilities – FVTP&amp;L</t>
  </si>
  <si>
    <t>Debt Securities in Issue at Amortized Cost</t>
  </si>
  <si>
    <t>Subordinated Liabilities</t>
  </si>
  <si>
    <t>Fee and Comission Income</t>
  </si>
  <si>
    <t>Fee and Comission Expense</t>
  </si>
  <si>
    <t>Net Fee and Comission income</t>
  </si>
  <si>
    <t>Net Trading Income (Losses)</t>
  </si>
  <si>
    <t>Insurance Revenue</t>
  </si>
  <si>
    <t>Insurance Service Expense</t>
  </si>
  <si>
    <t>Other Operating Income</t>
  </si>
  <si>
    <t>Net Investment Returns</t>
  </si>
  <si>
    <t>Staff Costs</t>
  </si>
  <si>
    <t>Premises and Equipment Costs</t>
  </si>
  <si>
    <t>Depreciation and Amortization</t>
  </si>
  <si>
    <t>Regulatory and Legal Provisions</t>
  </si>
  <si>
    <t>Other</t>
  </si>
  <si>
    <t>Adjustments</t>
  </si>
  <si>
    <t>Total Operating Expenses</t>
  </si>
  <si>
    <t>Total Income</t>
  </si>
  <si>
    <t>Total Other Operating Income</t>
  </si>
  <si>
    <t>Impairment</t>
  </si>
  <si>
    <t>Profit Before Tax</t>
  </si>
  <si>
    <t>Tax Expense</t>
  </si>
  <si>
    <t>Profit for the Year</t>
  </si>
  <si>
    <t>Dividends</t>
  </si>
  <si>
    <t>Share Buybacks</t>
  </si>
  <si>
    <t>Cash Flow Statement</t>
  </si>
  <si>
    <t>Non-Cash and Other Items</t>
  </si>
  <si>
    <t>Tax Refunded</t>
  </si>
  <si>
    <t>Tax Paid</t>
  </si>
  <si>
    <t>Change in Loans</t>
  </si>
  <si>
    <t>Change in Deposits</t>
  </si>
  <si>
    <t>Cash From Investing Activities</t>
  </si>
  <si>
    <t>Purchase of Financial Assets</t>
  </si>
  <si>
    <t>Purchase of property, plant and equipment</t>
  </si>
  <si>
    <t>Purchase of other intangible assets</t>
  </si>
  <si>
    <t>Net Cash used in Investing Activities</t>
  </si>
  <si>
    <t>Net Cash Provided by Operating Activities</t>
  </si>
  <si>
    <t>Proceeds from sale of PP&amp;E</t>
  </si>
  <si>
    <t>Proceeds from sale of financial assets</t>
  </si>
  <si>
    <t>Acquisition of businesses net of cash used</t>
  </si>
  <si>
    <t>Proceeds from sale of  intangible assets</t>
  </si>
  <si>
    <t>Cash From Financing Activities</t>
  </si>
  <si>
    <t>Dividends Paid to Ordinary Shareholders</t>
  </si>
  <si>
    <t>Net Cash used in Financing Activities</t>
  </si>
  <si>
    <t>Other Equity Distributions</t>
  </si>
  <si>
    <t>Debt Issuance</t>
  </si>
  <si>
    <t>Debt Repayment</t>
  </si>
  <si>
    <t>Interest on Debt</t>
  </si>
  <si>
    <t>Other Financing</t>
  </si>
  <si>
    <t xml:space="preserve">Repurchase of Other Equity Instruments </t>
  </si>
  <si>
    <t xml:space="preserve">Issuance of Other Equity Instruments  </t>
  </si>
  <si>
    <t>Effects of Exchange Rate Changes</t>
  </si>
  <si>
    <t>Change in Cash and Cash Equivalents</t>
  </si>
  <si>
    <t>Beginning Cash Balance</t>
  </si>
  <si>
    <t>Ratios</t>
  </si>
  <si>
    <t>Tangible Book Value:</t>
  </si>
  <si>
    <t>Shareholder's Equity</t>
  </si>
  <si>
    <t>Less: Goodwill</t>
  </si>
  <si>
    <t>Tangible Book Value</t>
  </si>
  <si>
    <t>Return on Equity (Average):</t>
  </si>
  <si>
    <t>Average Shareholder's Equity</t>
  </si>
  <si>
    <t>Net Income</t>
  </si>
  <si>
    <t>Return on Equity</t>
  </si>
  <si>
    <t>Return on Tangible Common Equity (Average):</t>
  </si>
  <si>
    <t>Common Stock and Additional Paid-In Capital</t>
  </si>
  <si>
    <t>Tangible Common Equity</t>
  </si>
  <si>
    <t>Average Tangible Common Equity</t>
  </si>
  <si>
    <t>Return on Tangible Common Equity</t>
  </si>
  <si>
    <t>Common Equity Tier 1 Capital:</t>
  </si>
  <si>
    <t>CET1</t>
  </si>
  <si>
    <t>Risk-Weighted Assets:</t>
  </si>
  <si>
    <t>Cash</t>
  </si>
  <si>
    <t>Weighting:</t>
  </si>
  <si>
    <t>Total Risk-Weighted Assets</t>
  </si>
  <si>
    <t>CET1 / RWA (CET1 Ratio)</t>
  </si>
  <si>
    <t>Less: Goodwill &amp; Other Intangible Assets</t>
  </si>
  <si>
    <t xml:space="preserve">Common Stock </t>
  </si>
  <si>
    <t>Basel III Core Minimum: %4,5</t>
  </si>
  <si>
    <t>Mandatory Buffers: %7,5</t>
  </si>
  <si>
    <r>
      <t>Regulatory Total:</t>
    </r>
    <r>
      <rPr>
        <i/>
        <sz val="11"/>
        <color theme="1"/>
        <rFont val="Calibri"/>
        <family val="2"/>
        <scheme val="minor"/>
      </rPr>
      <t xml:space="preserve"> %12,0</t>
    </r>
  </si>
  <si>
    <r>
      <t>Lloyds' Management Target:</t>
    </r>
    <r>
      <rPr>
        <i/>
        <sz val="11"/>
        <color theme="1"/>
        <rFont val="Calibri"/>
        <family val="2"/>
        <scheme val="minor"/>
      </rPr>
      <t xml:space="preserve"> %13,0</t>
    </r>
  </si>
  <si>
    <t>(Group’s ongoing target of c.13.0%, which includes a management buffer of around 1%)</t>
  </si>
  <si>
    <t>LOANS</t>
  </si>
  <si>
    <t>Loan Growth / (Decline)</t>
  </si>
  <si>
    <t>Capital Expenditures</t>
  </si>
  <si>
    <t>Ending Balance</t>
  </si>
  <si>
    <t>DEPOSITS</t>
  </si>
  <si>
    <t>Long-Term Debt</t>
  </si>
  <si>
    <t>Total Interest-Bearing Liabilities</t>
  </si>
  <si>
    <t>Schedules</t>
  </si>
  <si>
    <t>Retail</t>
  </si>
  <si>
    <t>Commercial Banking</t>
  </si>
  <si>
    <t>Mortgages</t>
  </si>
  <si>
    <t>Unsecured</t>
  </si>
  <si>
    <t>Other Retail</t>
  </si>
  <si>
    <t>Corporate and Institutional Banking</t>
  </si>
  <si>
    <t>Percentage to Loans to Customers</t>
  </si>
  <si>
    <t>Total Loans</t>
  </si>
  <si>
    <t>Commercial</t>
  </si>
  <si>
    <t>Total Deposits</t>
  </si>
  <si>
    <t>Others</t>
  </si>
  <si>
    <t>Loan To Deposit Ratio</t>
  </si>
  <si>
    <t>Retail Deposit Growth / (Decline)</t>
  </si>
  <si>
    <t>Commercial Deposit Growth / (Decline)</t>
  </si>
  <si>
    <t>Deposits From Banks</t>
  </si>
  <si>
    <t>Percentage of Total Customer Deposits</t>
  </si>
  <si>
    <t xml:space="preserve"> Deposits</t>
  </si>
  <si>
    <t>Long-Term Debt Percentage to Loans</t>
  </si>
  <si>
    <t>Ending Cash and Cash Equivalents Balance</t>
  </si>
  <si>
    <t>Depreciation &amp; Amortization Schedule</t>
  </si>
  <si>
    <t>Beginning Balance of PP&amp;E and Intangibles</t>
  </si>
  <si>
    <t>Depreciation &amp; Amortization</t>
  </si>
  <si>
    <t>Loan &amp; Interest Income Schedule</t>
  </si>
  <si>
    <t>Deposits &amp; Interest Expense Schedule</t>
  </si>
  <si>
    <t>Net Interest Margin</t>
  </si>
  <si>
    <t>Dividend &amp; Share Buybacks Schedule</t>
  </si>
  <si>
    <t>Total Capital Return</t>
  </si>
  <si>
    <t>Share Buyback Percentage of Capital Return</t>
  </si>
  <si>
    <t>Other Income Statement Schedules</t>
  </si>
  <si>
    <t>Percentage of Loans</t>
  </si>
  <si>
    <t>Insurance Service Income</t>
  </si>
  <si>
    <t>Income</t>
  </si>
  <si>
    <t>Percentage of Fee and Comission Income</t>
  </si>
  <si>
    <t>Expected Growth Rate</t>
  </si>
  <si>
    <t>Percentage of Insurance Service Income</t>
  </si>
  <si>
    <t>Expense</t>
  </si>
  <si>
    <t>Net Trading Income (losses)</t>
  </si>
  <si>
    <t>Tax Schedule</t>
  </si>
  <si>
    <t>Tax</t>
  </si>
  <si>
    <t>Effective Tax Rate</t>
  </si>
  <si>
    <t>Equity Schedule</t>
  </si>
  <si>
    <t>Total Shareholder's Ending  Equity</t>
  </si>
  <si>
    <t>Common Stock</t>
  </si>
  <si>
    <t>Other Balance Sheet Schedules</t>
  </si>
  <si>
    <t>Other Cash Flow Statement Schedules</t>
  </si>
  <si>
    <t>Cash From Operating Activities</t>
  </si>
  <si>
    <t xml:space="preserve">Interest Rate on Liabilities </t>
  </si>
  <si>
    <t>Interest Rate on Loans Average</t>
  </si>
  <si>
    <t>Assets</t>
  </si>
  <si>
    <t>Purchase of Property, Plant and Equipment</t>
  </si>
  <si>
    <t>Purchase of Other Intangible Assets</t>
  </si>
  <si>
    <t>Proceeds from Sale of Property, Plant and Equipment</t>
  </si>
  <si>
    <t>Cash from Investing Activities</t>
  </si>
  <si>
    <t>Cash from Operating Activities</t>
  </si>
  <si>
    <t>Proceeds from Financial Assets</t>
  </si>
  <si>
    <t>Financial Model</t>
  </si>
  <si>
    <t>Inputs &amp; Assumptions</t>
  </si>
  <si>
    <t xml:space="preserve">Valuation – Residual  </t>
  </si>
  <si>
    <t xml:space="preserve">Valuation – DDM  </t>
  </si>
  <si>
    <t>Comps</t>
  </si>
  <si>
    <t>Target Price:</t>
  </si>
  <si>
    <t>Upside / (Downside):</t>
  </si>
  <si>
    <t>Analyst: Furkan Panayır</t>
  </si>
  <si>
    <t>Cost of Equity</t>
  </si>
  <si>
    <t>Risk-Free Rate</t>
  </si>
  <si>
    <t>Market Risk Premium</t>
  </si>
  <si>
    <t>Beta</t>
  </si>
  <si>
    <t>Perpetuity Growth Rate</t>
  </si>
  <si>
    <t>Retention Ratio</t>
  </si>
  <si>
    <t>Growth Rate</t>
  </si>
  <si>
    <t>Terminal Multiple</t>
  </si>
  <si>
    <t>Valuation</t>
  </si>
  <si>
    <t>Shares Outstanding</t>
  </si>
  <si>
    <t>(FD Millions)</t>
  </si>
  <si>
    <t>Current Stock Price</t>
  </si>
  <si>
    <t>(GBP(£)/sh)</t>
  </si>
  <si>
    <t>Ticker: LLOY.L</t>
  </si>
  <si>
    <t>Cost of Equity &amp; Terminal Value</t>
  </si>
  <si>
    <t>Residual Income Valuation</t>
  </si>
  <si>
    <t>Net Income Growth Rate</t>
  </si>
  <si>
    <t>Common Dividends</t>
  </si>
  <si>
    <t>Dividend Growth Rate</t>
  </si>
  <si>
    <t>Actual Dividend Payout Ratio</t>
  </si>
  <si>
    <t>Actual Total Payout Ratio</t>
  </si>
  <si>
    <t>Common Equity</t>
  </si>
  <si>
    <t>Beginning Balance</t>
  </si>
  <si>
    <t>Net Income to Common</t>
  </si>
  <si>
    <t>Common Equity Tier 1 (CET1) Capital</t>
  </si>
  <si>
    <t>Return on Equity (Beginning)</t>
  </si>
  <si>
    <t>NA</t>
  </si>
  <si>
    <t>Required Return on Equity</t>
  </si>
  <si>
    <t>Residual Income</t>
  </si>
  <si>
    <t>Alternative Calculation</t>
  </si>
  <si>
    <t>Targeted CET1 Ratio</t>
  </si>
  <si>
    <t>Targeted CET1</t>
  </si>
  <si>
    <t>Actual CET1 Ratio</t>
  </si>
  <si>
    <t>Risk-Weighted Assets (RWA)</t>
  </si>
  <si>
    <t>RWA Growth</t>
  </si>
  <si>
    <t>TERM</t>
  </si>
  <si>
    <t>Net Income Growth</t>
  </si>
  <si>
    <t>Dividend Payout Ratio</t>
  </si>
  <si>
    <t>Terminal Value</t>
  </si>
  <si>
    <t>Total Dividends</t>
  </si>
  <si>
    <t>Discounting Period</t>
  </si>
  <si>
    <t>Present Value of Common Dividends</t>
  </si>
  <si>
    <t>Fully Diluted Shares Outstanding</t>
  </si>
  <si>
    <t>Intrinsic Value of Equity per Share</t>
  </si>
  <si>
    <t>Current Share Price</t>
  </si>
  <si>
    <t>Net Asset Value</t>
  </si>
  <si>
    <t>Simple Dividend Discount Model</t>
  </si>
  <si>
    <t>Targeted Dividend Payout Ratio</t>
  </si>
  <si>
    <t xml:space="preserve"> Dividends with Regulatory Capital </t>
  </si>
  <si>
    <t>Share Buybacks Growth Rate</t>
  </si>
  <si>
    <t>Dividend Discount Model: Perpetuity Approach</t>
  </si>
  <si>
    <t>Discrete Forecast</t>
  </si>
  <si>
    <t>Term</t>
  </si>
  <si>
    <t>(YY-MM-DD)</t>
  </si>
  <si>
    <t>Fiscal Year End</t>
  </si>
  <si>
    <t>Cash Flow Timing</t>
  </si>
  <si>
    <t>UNADJUSTED DIVIDENDS</t>
  </si>
  <si>
    <t>ADJUSTED DIVIDENDS</t>
  </si>
  <si>
    <t>Partial Period Adjustment</t>
  </si>
  <si>
    <t>DISCOUNTED DIVIDENDS</t>
  </si>
  <si>
    <t xml:space="preserve">Terminal Growth Rate </t>
  </si>
  <si>
    <t>EQUITY VALUE</t>
  </si>
  <si>
    <t>Manual Method</t>
  </si>
  <si>
    <t>PV of Discrete</t>
  </si>
  <si>
    <t>PV of Terminal</t>
  </si>
  <si>
    <t>Equity Value</t>
  </si>
  <si>
    <t>EQUITY VALUE PER SHARE</t>
  </si>
  <si>
    <t>Book Value</t>
  </si>
  <si>
    <t>Terminal</t>
  </si>
  <si>
    <t>Adjustment</t>
  </si>
  <si>
    <t>Dividend Discount Model: Multiple Approach</t>
  </si>
  <si>
    <t>Price to Book Value</t>
  </si>
  <si>
    <t xml:space="preserve">XNPV Function </t>
  </si>
  <si>
    <t>Sensitivity Analysis</t>
  </si>
  <si>
    <t>Equity Value per Share</t>
  </si>
  <si>
    <t>Residual Income Valuation: Perpetuity Approach</t>
  </si>
  <si>
    <t>UNADJUSTED RESIDUAL INCOME</t>
  </si>
  <si>
    <t>Total Residual Inccome</t>
  </si>
  <si>
    <t>ADJUSTED RESIDUAL INCOME</t>
  </si>
  <si>
    <t>Total Residual Income</t>
  </si>
  <si>
    <t>DISCOUNTED RESIDUAL INCOME</t>
  </si>
  <si>
    <t>Years for Discounting</t>
  </si>
  <si>
    <t>PV OF RESIDUAL INCOME</t>
  </si>
  <si>
    <t xml:space="preserve">EQUITY VALUE </t>
  </si>
  <si>
    <t>Example 1: Market Value &gt; Book Value</t>
  </si>
  <si>
    <t>Average Life of Loan Portfolio (Annual)</t>
  </si>
  <si>
    <t>Average Interest Rate on Loan Portfolio</t>
  </si>
  <si>
    <t>"Market" Interest Rate on Loan Portfolio</t>
  </si>
  <si>
    <t>Book Value of Loan Portfolio</t>
  </si>
  <si>
    <t>Annual Cash Flow</t>
  </si>
  <si>
    <t>Difference between Market Value and Book Value</t>
  </si>
  <si>
    <t>Example 2: Market Value &lt; Book Value</t>
  </si>
  <si>
    <t>Example 3: Market Value = Book Value</t>
  </si>
  <si>
    <t>Assumes annual compounding and end-of-year repayment of loans.</t>
  </si>
  <si>
    <t>Market Value Adjustment</t>
  </si>
  <si>
    <t>Estimated Market Value</t>
  </si>
  <si>
    <t>Low</t>
  </si>
  <si>
    <t>Med</t>
  </si>
  <si>
    <t>High</t>
  </si>
  <si>
    <t>Indicated Equity Value</t>
  </si>
  <si>
    <t>Implied P/B Multiple</t>
  </si>
  <si>
    <t>Loan Book Valuation</t>
  </si>
  <si>
    <r>
      <t xml:space="preserve">Market Value of Loan Portfolio </t>
    </r>
    <r>
      <rPr>
        <vertAlign val="superscript"/>
        <sz val="10"/>
        <color theme="1"/>
        <rFont val="Calibri"/>
        <family val="2"/>
        <charset val="162"/>
        <scheme val="minor"/>
      </rPr>
      <t>1</t>
    </r>
  </si>
  <si>
    <t>Comparable Company Metrics</t>
  </si>
  <si>
    <t>Tangible</t>
  </si>
  <si>
    <t>Dividend</t>
  </si>
  <si>
    <t>Current</t>
  </si>
  <si>
    <t>Share</t>
  </si>
  <si>
    <t>Shares</t>
  </si>
  <si>
    <t>Market</t>
  </si>
  <si>
    <t>P / TBV</t>
  </si>
  <si>
    <t>P / E</t>
  </si>
  <si>
    <t>ROTCE</t>
  </si>
  <si>
    <t>per Share</t>
  </si>
  <si>
    <t>Div Yield</t>
  </si>
  <si>
    <t>Peer Banks</t>
  </si>
  <si>
    <t>Price</t>
  </si>
  <si>
    <t>Outstand.</t>
  </si>
  <si>
    <t>Cap</t>
  </si>
  <si>
    <t>£</t>
  </si>
  <si>
    <t>mm</t>
  </si>
  <si>
    <t>x</t>
  </si>
  <si>
    <t>NatWest Group</t>
  </si>
  <si>
    <t xml:space="preserve">Barclays </t>
  </si>
  <si>
    <t>HSBC Holdings</t>
  </si>
  <si>
    <t xml:space="preserve">OSB Group </t>
  </si>
  <si>
    <t xml:space="preserve">Standard Chartered </t>
  </si>
  <si>
    <t>Average</t>
  </si>
  <si>
    <t>Median</t>
  </si>
  <si>
    <t>Lloyds Bank Value at Scenerio Multiples</t>
  </si>
  <si>
    <t>75th Percentile</t>
  </si>
  <si>
    <t>25th Percentile</t>
  </si>
  <si>
    <t>Harmonic Mean</t>
  </si>
  <si>
    <t>$</t>
  </si>
  <si>
    <t>Intercept</t>
  </si>
  <si>
    <t>RSQ</t>
  </si>
  <si>
    <t>Target Bank Value Using Regression</t>
  </si>
  <si>
    <t>Implied P / TBV</t>
  </si>
  <si>
    <t>OSB was excluded from the regression due to outlier behaviour and limited comparability.</t>
  </si>
  <si>
    <t>Regression</t>
  </si>
  <si>
    <t>Middle</t>
  </si>
  <si>
    <t>Comparable Companies</t>
  </si>
  <si>
    <t>DDM - Perpetuity Growth</t>
  </si>
  <si>
    <t>DDM - Terminal Multiple</t>
  </si>
  <si>
    <t>52 Week High/Low</t>
  </si>
  <si>
    <t>Implied P/TBV</t>
  </si>
  <si>
    <t>Valuation Summary Table</t>
  </si>
  <si>
    <t>Weight</t>
  </si>
  <si>
    <t xml:space="preserve">Base </t>
  </si>
  <si>
    <t>Scenerio</t>
  </si>
  <si>
    <t>(base)</t>
  </si>
  <si>
    <t>(high)</t>
  </si>
  <si>
    <t>(low)</t>
  </si>
  <si>
    <t>Base</t>
  </si>
  <si>
    <t>Management's Target</t>
  </si>
  <si>
    <t>Operating Behavior Target</t>
  </si>
  <si>
    <t>CET1 Target</t>
  </si>
  <si>
    <t>Dividends Payout Ratio</t>
  </si>
  <si>
    <t>Total Capital Return Ratio</t>
  </si>
  <si>
    <t>Shares Outstanding Schedule</t>
  </si>
  <si>
    <t>Shares Beginning</t>
  </si>
  <si>
    <t>Shares Repurchased</t>
  </si>
  <si>
    <t>Ending Shares</t>
  </si>
  <si>
    <t>Assumed Buyback Price</t>
  </si>
  <si>
    <t>Dividends Per Share</t>
  </si>
  <si>
    <t>Terminal % of Equity Value</t>
  </si>
  <si>
    <t>Discrete % of Equity Value</t>
  </si>
  <si>
    <t>EQUITY VALUE COMPOSITION</t>
  </si>
  <si>
    <t>Justified P/TBV Multiple</t>
  </si>
  <si>
    <t>Terminal Year Total Payout Ratio Forecast</t>
  </si>
  <si>
    <t>Total Payout Ratio 5 Year Forecast Average</t>
  </si>
  <si>
    <t>Current Shares Outstandin</t>
  </si>
  <si>
    <t>2030F Shares Outstanding</t>
  </si>
  <si>
    <t>Less: Goodwill and Other Intangible Assets</t>
  </si>
  <si>
    <t>Regulatory and Other Adjustments</t>
  </si>
  <si>
    <t>Key Drivers</t>
  </si>
  <si>
    <t>Interest Rate Normalization</t>
  </si>
  <si>
    <t>Stable Loan Growth</t>
  </si>
  <si>
    <t>Strong Capital Return</t>
  </si>
  <si>
    <t>Valuation Date: 03.04.2026</t>
  </si>
  <si>
    <t>Lloyds Banking Group –  Valuation Model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</si>
</sst>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3" formatCode="_-* #,##0.00_-;\-* #,##0.00_-;_-* &quot;-&quot;??_-;_-@_-"/>
    <numFmt numFmtId="164" formatCode="_(#,##0_)_%;\(#,##0\)_%;_(&quot;–&quot;_)_%;_(@_)_%"/>
    <numFmt numFmtId="165" formatCode="&quot;Yes&quot;;&quot;ERROR&quot;;&quot;No&quot;;&quot;ERROR&quot;"/>
    <numFmt numFmtId="166" formatCode="0&quot;A&quot;"/>
    <numFmt numFmtId="167" formatCode="0000\A"/>
    <numFmt numFmtId="168" formatCode="0000\F"/>
    <numFmt numFmtId="169" formatCode="#.##0;\(#.##0\);\–;@"/>
    <numFmt numFmtId="170" formatCode="_(#,##0_);\(#,##0\);_(&quot;–&quot;_);_(@_)"/>
    <numFmt numFmtId="171" formatCode="#;\(#\);\–;@"/>
    <numFmt numFmtId="172" formatCode="#,##0;\(#,##0\);\–;@"/>
    <numFmt numFmtId="173" formatCode="0.0000%"/>
    <numFmt numFmtId="174" formatCode="_(#,##0.00%_);\(#,##0.00%\);_(&quot;–&quot;_);_(@_)"/>
    <numFmt numFmtId="175" formatCode="_(#,##0%_);\(#,##0%\);_(&quot;–&quot;_);_(@_)"/>
    <numFmt numFmtId="176" formatCode="_(#,##0.0%_);\(#,##0.0%\);_(&quot;–&quot;_);_(@_)"/>
    <numFmt numFmtId="177" formatCode="0.0%"/>
    <numFmt numFmtId="178" formatCode="_(#,##0.00%_);\(#,##0.00%\);_(&quot;–&quot;_)_%;_(@_)_%"/>
    <numFmt numFmtId="179" formatCode="_(#,##0.00_);\(#,##0.00\);_(&quot;–&quot;_);_(@_)"/>
    <numFmt numFmtId="180" formatCode="_(#,##0.0%_);\(#,##0.0%\);_(&quot;–&quot;_)_%;_(@_)_%"/>
    <numFmt numFmtId="181" formatCode="_(0.00\x_);\(0.00\x\);_(&quot;–&quot;_);_(@_)"/>
    <numFmt numFmtId="182" formatCode="_-[$£-809]* #,##0.00_-;\-[$£-809]* #,##0.00_-;_-[$£-809]* &quot;-&quot;??_-;_-@_-"/>
    <numFmt numFmtId="183" formatCode="_(#,##0.0_);\(#,##0.0\);_(&quot;–&quot;_);_(@_)"/>
    <numFmt numFmtId="184" formatCode="_(&quot;$&quot;#,##0.00_);\(&quot;$&quot;#,##0.00\);_(&quot;–&quot;_);_(@_)"/>
    <numFmt numFmtId="185" formatCode="@\⁽\¹\⁾"/>
    <numFmt numFmtId="186" formatCode="yy/mm/dd"/>
    <numFmt numFmtId="187" formatCode="#,##0_);\(#,##0\);\-"/>
    <numFmt numFmtId="188" formatCode="#,##0_);[Red]\(#,##0\);\-"/>
    <numFmt numFmtId="189" formatCode="_(&quot;£&quot;#,##0.00_);\(&quot;£&quot;#,##0.00\);_(&quot;–&quot;_);_(@_)"/>
    <numFmt numFmtId="190" formatCode="_(0.0\x_);\(0.0\x\);_;_(@_)"/>
    <numFmt numFmtId="191" formatCode="_(0.0\x_);\(0.0\x\);_(&quot;–&quot;_);_(@_)"/>
    <numFmt numFmtId="192" formatCode="@\⁽\³\⁾"/>
    <numFmt numFmtId="193" formatCode="_(#,##0.000_);\(#,##0.000\);_(&quot;–&quot;_);_(@_)"/>
    <numFmt numFmtId="194" formatCode="&quot;£&quot;#,##0.00;\(&quot;£&quot;#,##0.00\);&quot;£&quot;\–;_(@_)"/>
    <numFmt numFmtId="195" formatCode="_-[$£-809]* #,##0_-;\-[$£-809]* #,##0_-;_-[$£-809]* &quot;-&quot;??_-;_-@_-"/>
  </numFmts>
  <fonts count="8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sz val="11"/>
      <name val="Calibri"/>
      <family val="2"/>
      <scheme val="minor"/>
    </font>
    <font>
      <sz val="11"/>
      <name val="Open Sans"/>
      <family val="2"/>
    </font>
    <font>
      <u/>
      <sz val="10"/>
      <color rgb="FF0000FF"/>
      <name val="Arial"/>
      <family val="2"/>
    </font>
    <font>
      <u/>
      <sz val="10"/>
      <color theme="10"/>
      <name val="Arial"/>
      <family val="2"/>
    </font>
    <font>
      <sz val="12"/>
      <name val="Open Sans"/>
      <family val="2"/>
    </font>
    <font>
      <sz val="11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sz val="12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b/>
      <u/>
      <sz val="11"/>
      <name val="Calibri"/>
      <family val="2"/>
      <charset val="162"/>
      <scheme val="minor"/>
    </font>
    <font>
      <b/>
      <sz val="20"/>
      <color theme="1" tint="0.14999847407452621"/>
      <name val="Calibri"/>
      <family val="2"/>
      <charset val="162"/>
      <scheme val="minor"/>
    </font>
    <font>
      <sz val="11"/>
      <color theme="1" tint="0.14999847407452621"/>
      <name val="Calibri"/>
      <family val="2"/>
      <charset val="162"/>
      <scheme val="minor"/>
    </font>
    <font>
      <b/>
      <sz val="18"/>
      <color theme="1" tint="0.14999847407452621"/>
      <name val="Calibri"/>
      <family val="2"/>
      <charset val="162"/>
      <scheme val="minor"/>
    </font>
    <font>
      <sz val="10"/>
      <color theme="1" tint="0.14999847407452621"/>
      <name val="Calibri"/>
      <family val="2"/>
      <charset val="162"/>
      <scheme val="minor"/>
    </font>
    <font>
      <b/>
      <sz val="14"/>
      <color theme="1" tint="0.14999847407452621"/>
      <name val="Calibri"/>
      <family val="2"/>
      <charset val="162"/>
      <scheme val="minor"/>
    </font>
    <font>
      <b/>
      <sz val="12"/>
      <color theme="1" tint="0.14999847407452621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b/>
      <sz val="10"/>
      <color theme="1" tint="0.14999847407452621"/>
      <name val="Calibri"/>
      <family val="2"/>
      <charset val="162"/>
      <scheme val="minor"/>
    </font>
    <font>
      <i/>
      <sz val="9"/>
      <name val="Calibri"/>
      <family val="2"/>
      <charset val="162"/>
      <scheme val="minor"/>
    </font>
    <font>
      <b/>
      <sz val="10"/>
      <color theme="0"/>
      <name val="Calibri"/>
      <family val="2"/>
      <charset val="162"/>
      <scheme val="minor"/>
    </font>
    <font>
      <b/>
      <sz val="10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i/>
      <sz val="11"/>
      <color theme="1"/>
      <name val="Calibri"/>
      <family val="2"/>
      <charset val="162"/>
      <scheme val="minor"/>
    </font>
    <font>
      <sz val="10"/>
      <color theme="4" tint="-0.249977111117893"/>
      <name val="Calibri"/>
      <family val="2"/>
      <charset val="162"/>
      <scheme val="minor"/>
    </font>
    <font>
      <b/>
      <sz val="10"/>
      <color theme="0"/>
      <name val="Open Sans"/>
      <family val="2"/>
    </font>
    <font>
      <sz val="10"/>
      <color theme="1"/>
      <name val="Open Sans"/>
      <family val="2"/>
    </font>
    <font>
      <sz val="10"/>
      <color rgb="FF3271D2"/>
      <name val="Calibri"/>
      <family val="2"/>
      <charset val="162"/>
      <scheme val="minor"/>
    </font>
    <font>
      <i/>
      <sz val="11"/>
      <color theme="1"/>
      <name val="Calibri"/>
      <family val="2"/>
      <scheme val="minor"/>
    </font>
    <font>
      <i/>
      <sz val="8"/>
      <color theme="1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9"/>
      <color theme="1"/>
      <name val="Calibri"/>
      <family val="2"/>
      <charset val="162"/>
      <scheme val="minor"/>
    </font>
    <font>
      <b/>
      <sz val="10"/>
      <color rgb="FF000000"/>
      <name val="Calibri"/>
      <family val="2"/>
      <charset val="162"/>
      <scheme val="minor"/>
    </font>
    <font>
      <b/>
      <sz val="10"/>
      <color theme="4" tint="-0.249977111117893"/>
      <name val="Calibri"/>
      <family val="2"/>
      <charset val="162"/>
      <scheme val="minor"/>
    </font>
    <font>
      <b/>
      <sz val="22"/>
      <color theme="1" tint="0.14999847407452621"/>
      <name val="Calibri"/>
      <family val="2"/>
      <charset val="162"/>
      <scheme val="minor"/>
    </font>
    <font>
      <sz val="12"/>
      <color theme="1" tint="0.14999847407452621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  <font>
      <sz val="12"/>
      <color theme="1"/>
      <name val="Calibri"/>
      <family val="2"/>
      <scheme val="minor"/>
    </font>
    <font>
      <sz val="10"/>
      <name val="Open Sans"/>
      <family val="2"/>
    </font>
    <font>
      <i/>
      <sz val="10"/>
      <color theme="1"/>
      <name val="Calibri"/>
      <family val="2"/>
      <charset val="162"/>
      <scheme val="minor"/>
    </font>
    <font>
      <sz val="10"/>
      <color rgb="FF289A72"/>
      <name val="Calibri"/>
      <family val="2"/>
      <charset val="162"/>
      <scheme val="minor"/>
    </font>
    <font>
      <i/>
      <sz val="10"/>
      <color rgb="FF000000"/>
      <name val="Calibri"/>
      <family val="2"/>
      <charset val="162"/>
      <scheme val="minor"/>
    </font>
    <font>
      <b/>
      <sz val="11"/>
      <color rgb="FF000000"/>
      <name val="Calibri"/>
      <family val="2"/>
      <charset val="16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theme="1" tint="0.14999847407452621"/>
      <name val="Calibri"/>
      <family val="2"/>
      <scheme val="minor"/>
    </font>
    <font>
      <sz val="12"/>
      <color theme="1" tint="0.14999847407452621"/>
      <name val="Calibri"/>
      <family val="2"/>
      <scheme val="minor"/>
    </font>
    <font>
      <sz val="10"/>
      <color theme="9"/>
      <name val="Calibri"/>
      <family val="2"/>
      <scheme val="minor"/>
    </font>
    <font>
      <sz val="10"/>
      <color theme="9"/>
      <name val="Calibri"/>
      <family val="2"/>
      <charset val="162"/>
      <scheme val="minor"/>
    </font>
    <font>
      <i/>
      <sz val="10"/>
      <color rgb="FF3271D2"/>
      <name val="Calibri"/>
      <family val="2"/>
      <charset val="162"/>
      <scheme val="minor"/>
    </font>
    <font>
      <sz val="10"/>
      <name val="Calibri"/>
      <family val="2"/>
      <scheme val="minor"/>
    </font>
    <font>
      <sz val="10"/>
      <color theme="8"/>
      <name val="Calibri"/>
      <family val="2"/>
      <charset val="162"/>
      <scheme val="minor"/>
    </font>
    <font>
      <i/>
      <sz val="10"/>
      <color theme="9"/>
      <name val="Calibri"/>
      <family val="2"/>
      <charset val="162"/>
      <scheme val="minor"/>
    </font>
    <font>
      <i/>
      <sz val="10"/>
      <name val="Calibri"/>
      <family val="2"/>
      <charset val="162"/>
      <scheme val="minor"/>
    </font>
    <font>
      <b/>
      <sz val="9"/>
      <color rgb="FF000000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b/>
      <sz val="10"/>
      <color theme="9"/>
      <name val="Calibri"/>
      <family val="2"/>
      <charset val="162"/>
      <scheme val="minor"/>
    </font>
    <font>
      <sz val="10"/>
      <color rgb="FF0070C0"/>
      <name val="Calibri"/>
      <family val="2"/>
      <charset val="162"/>
      <scheme val="minor"/>
    </font>
    <font>
      <sz val="11"/>
      <color rgb="FF000000"/>
      <name val="Calibri"/>
      <family val="2"/>
      <charset val="162"/>
      <scheme val="minor"/>
    </font>
    <font>
      <sz val="10"/>
      <color rgb="FFFFFFFF"/>
      <name val="Calibri"/>
      <family val="2"/>
      <charset val="162"/>
      <scheme val="minor"/>
    </font>
    <font>
      <sz val="10"/>
      <name val="Bookman"/>
      <family val="1"/>
    </font>
    <font>
      <vertAlign val="superscript"/>
      <sz val="10"/>
      <color theme="1"/>
      <name val="Calibri"/>
      <family val="2"/>
      <charset val="162"/>
      <scheme val="minor"/>
    </font>
    <font>
      <b/>
      <sz val="10"/>
      <color rgb="FF289A72"/>
      <name val="Calibri"/>
      <family val="2"/>
      <charset val="162"/>
      <scheme val="minor"/>
    </font>
    <font>
      <sz val="10"/>
      <color rgb="FF0000FF"/>
      <name val="Calibri"/>
      <family val="2"/>
      <charset val="162"/>
      <scheme val="minor"/>
    </font>
    <font>
      <b/>
      <sz val="14"/>
      <color theme="1" tint="0.14999847407452621"/>
      <name val="Calibri"/>
      <family val="2"/>
      <scheme val="minor"/>
    </font>
    <font>
      <sz val="10"/>
      <name val="Arial"/>
      <family val="2"/>
    </font>
    <font>
      <b/>
      <sz val="11"/>
      <color theme="1" tint="0.14999847407452621"/>
      <name val="Calibri"/>
      <family val="2"/>
      <charset val="162"/>
      <scheme val="minor"/>
    </font>
    <font>
      <b/>
      <sz val="12"/>
      <name val="Calibri"/>
      <family val="2"/>
      <charset val="162"/>
      <scheme val="minor"/>
    </font>
    <font>
      <sz val="11"/>
      <color theme="9"/>
      <name val="Calibri"/>
      <family val="2"/>
      <charset val="162"/>
      <scheme val="minor"/>
    </font>
    <font>
      <sz val="10"/>
      <color rgb="FF0070C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000000"/>
      </patternFill>
    </fill>
    <fill>
      <patternFill patternType="solid">
        <fgColor rgb="FFA6A6A6"/>
        <bgColor rgb="FF000000"/>
      </patternFill>
    </fill>
    <fill>
      <patternFill patternType="solid">
        <fgColor theme="0"/>
        <bgColor rgb="FF000000"/>
      </patternFill>
    </fill>
  </fills>
  <borders count="54">
    <border>
      <left/>
      <right/>
      <top/>
      <bottom/>
      <diagonal/>
    </border>
    <border>
      <left style="thick">
        <color theme="0" tint="-0.34998626667073579"/>
      </left>
      <right/>
      <top style="thick">
        <color theme="0" tint="-0.34998626667073579"/>
      </top>
      <bottom/>
      <diagonal/>
    </border>
    <border>
      <left/>
      <right/>
      <top style="thick">
        <color theme="0" tint="-0.34998626667073579"/>
      </top>
      <bottom/>
      <diagonal/>
    </border>
    <border>
      <left/>
      <right style="thick">
        <color theme="0" tint="-0.34998626667073579"/>
      </right>
      <top style="thick">
        <color theme="0" tint="-0.34998626667073579"/>
      </top>
      <bottom/>
      <diagonal/>
    </border>
    <border>
      <left style="thick">
        <color theme="0" tint="-0.34998626667073579"/>
      </left>
      <right/>
      <top/>
      <bottom/>
      <diagonal/>
    </border>
    <border>
      <left/>
      <right style="thick">
        <color theme="0" tint="-0.34998626667073579"/>
      </right>
      <top/>
      <bottom/>
      <diagonal/>
    </border>
    <border>
      <left style="thick">
        <color theme="0" tint="-0.34998626667073579"/>
      </left>
      <right/>
      <top/>
      <bottom style="thick">
        <color theme="0" tint="-0.34998626667073579"/>
      </bottom>
      <diagonal/>
    </border>
    <border>
      <left/>
      <right/>
      <top/>
      <bottom style="thick">
        <color theme="0" tint="-0.34998626667073579"/>
      </bottom>
      <diagonal/>
    </border>
    <border>
      <left/>
      <right style="thick">
        <color theme="0" tint="-0.34998626667073579"/>
      </right>
      <top/>
      <bottom style="thick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8">
    <xf numFmtId="0" fontId="0" fillId="0" borderId="0"/>
    <xf numFmtId="0" fontId="7" fillId="0" borderId="0"/>
    <xf numFmtId="0" fontId="11" fillId="0" borderId="0"/>
    <xf numFmtId="0" fontId="12" fillId="0" borderId="0" applyNumberForma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7" fillId="0" borderId="0"/>
  </cellStyleXfs>
  <cellXfs count="493">
    <xf numFmtId="0" fontId="0" fillId="0" borderId="0" xfId="0"/>
    <xf numFmtId="0" fontId="9" fillId="0" borderId="0" xfId="0" applyFont="1"/>
    <xf numFmtId="0" fontId="10" fillId="0" borderId="0" xfId="1" applyFont="1"/>
    <xf numFmtId="0" fontId="15" fillId="0" borderId="0" xfId="1" applyFont="1"/>
    <xf numFmtId="0" fontId="16" fillId="0" borderId="0" xfId="1" applyFont="1" applyAlignment="1" applyProtection="1">
      <alignment horizontal="left"/>
      <protection locked="0"/>
    </xf>
    <xf numFmtId="0" fontId="15" fillId="0" borderId="0" xfId="1" applyFont="1" applyAlignment="1">
      <alignment horizontal="centerContinuous"/>
    </xf>
    <xf numFmtId="0" fontId="14" fillId="0" borderId="0" xfId="1" applyFont="1" applyAlignment="1">
      <alignment horizontal="centerContinuous"/>
    </xf>
    <xf numFmtId="0" fontId="16" fillId="0" borderId="0" xfId="1" applyFont="1" applyAlignment="1" applyProtection="1">
      <alignment horizontal="centerContinuous"/>
      <protection locked="0"/>
    </xf>
    <xf numFmtId="0" fontId="14" fillId="0" borderId="0" xfId="0" applyFont="1"/>
    <xf numFmtId="164" fontId="17" fillId="0" borderId="0" xfId="3" applyNumberFormat="1" applyFont="1" applyFill="1" applyBorder="1" applyAlignment="1" applyProtection="1">
      <alignment horizontal="left"/>
      <protection locked="0"/>
    </xf>
    <xf numFmtId="0" fontId="14" fillId="0" borderId="0" xfId="1" applyFont="1"/>
    <xf numFmtId="0" fontId="17" fillId="0" borderId="0" xfId="3" applyFont="1" applyFill="1" applyBorder="1" applyAlignment="1" applyProtection="1">
      <alignment horizontal="left"/>
      <protection locked="0"/>
    </xf>
    <xf numFmtId="0" fontId="15" fillId="0" borderId="0" xfId="1" applyFont="1" applyAlignment="1">
      <alignment horizontal="left"/>
    </xf>
    <xf numFmtId="165" fontId="17" fillId="0" borderId="0" xfId="3" applyNumberFormat="1" applyFont="1" applyFill="1" applyBorder="1" applyAlignment="1" applyProtection="1">
      <alignment horizontal="center"/>
      <protection locked="0"/>
    </xf>
    <xf numFmtId="0" fontId="17" fillId="0" borderId="0" xfId="3" applyFont="1" applyFill="1" applyBorder="1" applyProtection="1">
      <protection locked="0"/>
    </xf>
    <xf numFmtId="0" fontId="18" fillId="2" borderId="0" xfId="0" applyFont="1" applyFill="1"/>
    <xf numFmtId="0" fontId="19" fillId="0" borderId="0" xfId="0" applyFont="1"/>
    <xf numFmtId="0" fontId="21" fillId="0" borderId="0" xfId="0" applyFont="1"/>
    <xf numFmtId="0" fontId="25" fillId="0" borderId="0" xfId="0" applyFont="1"/>
    <xf numFmtId="0" fontId="25" fillId="0" borderId="0" xfId="1" applyFont="1" applyProtection="1">
      <protection locked="0"/>
    </xf>
    <xf numFmtId="0" fontId="14" fillId="0" borderId="4" xfId="1" applyFont="1" applyBorder="1"/>
    <xf numFmtId="0" fontId="14" fillId="0" borderId="5" xfId="1" applyFont="1" applyBorder="1"/>
    <xf numFmtId="0" fontId="10" fillId="0" borderId="4" xfId="1" applyFont="1" applyBorder="1"/>
    <xf numFmtId="0" fontId="10" fillId="0" borderId="5" xfId="1" applyFont="1" applyBorder="1"/>
    <xf numFmtId="0" fontId="10" fillId="0" borderId="6" xfId="1" applyFont="1" applyBorder="1"/>
    <xf numFmtId="0" fontId="9" fillId="0" borderId="7" xfId="0" applyFont="1" applyBorder="1"/>
    <xf numFmtId="0" fontId="10" fillId="0" borderId="8" xfId="1" applyFont="1" applyBorder="1"/>
    <xf numFmtId="0" fontId="8" fillId="0" borderId="0" xfId="0" applyFont="1"/>
    <xf numFmtId="0" fontId="26" fillId="0" borderId="0" xfId="0" applyFont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37" fontId="24" fillId="4" borderId="0" xfId="0" applyNumberFormat="1" applyFont="1" applyFill="1" applyAlignment="1">
      <alignment vertical="center"/>
    </xf>
    <xf numFmtId="37" fontId="27" fillId="4" borderId="0" xfId="0" applyNumberFormat="1" applyFont="1" applyFill="1" applyAlignment="1">
      <alignment vertical="center"/>
    </xf>
    <xf numFmtId="37" fontId="23" fillId="4" borderId="0" xfId="0" applyNumberFormat="1" applyFont="1" applyFill="1" applyAlignment="1">
      <alignment vertical="center"/>
    </xf>
    <xf numFmtId="166" fontId="27" fillId="4" borderId="0" xfId="0" applyNumberFormat="1" applyFont="1" applyFill="1" applyAlignment="1">
      <alignment horizontal="right"/>
    </xf>
    <xf numFmtId="164" fontId="28" fillId="0" borderId="0" xfId="0" applyNumberFormat="1" applyFont="1" applyAlignment="1">
      <alignment vertical="center"/>
    </xf>
    <xf numFmtId="37" fontId="29" fillId="0" borderId="0" xfId="0" applyNumberFormat="1" applyFont="1" applyAlignment="1">
      <alignment vertical="center"/>
    </xf>
    <xf numFmtId="167" fontId="30" fillId="0" borderId="9" xfId="0" applyNumberFormat="1" applyFont="1" applyBorder="1" applyAlignment="1">
      <alignment horizontal="right" vertical="center"/>
    </xf>
    <xf numFmtId="168" fontId="30" fillId="0" borderId="9" xfId="0" applyNumberFormat="1" applyFont="1" applyBorder="1" applyAlignment="1">
      <alignment horizontal="right" vertical="center"/>
    </xf>
    <xf numFmtId="0" fontId="31" fillId="0" borderId="0" xfId="0" applyFont="1" applyAlignment="1">
      <alignment horizontal="left" indent="1"/>
    </xf>
    <xf numFmtId="0" fontId="31" fillId="0" borderId="0" xfId="0" applyFont="1" applyAlignment="1">
      <alignment horizontal="left" vertical="center" indent="1"/>
    </xf>
    <xf numFmtId="0" fontId="31" fillId="0" borderId="0" xfId="0" applyFont="1"/>
    <xf numFmtId="0" fontId="26" fillId="0" borderId="0" xfId="0" applyFont="1" applyAlignment="1">
      <alignment vertical="center"/>
    </xf>
    <xf numFmtId="166" fontId="27" fillId="5" borderId="0" xfId="0" applyNumberFormat="1" applyFont="1" applyFill="1" applyAlignment="1">
      <alignment horizontal="right"/>
    </xf>
    <xf numFmtId="0" fontId="32" fillId="0" borderId="0" xfId="0" applyFont="1"/>
    <xf numFmtId="169" fontId="31" fillId="0" borderId="0" xfId="0" applyNumberFormat="1" applyFont="1" applyAlignment="1">
      <alignment horizontal="left" vertical="center" indent="1"/>
    </xf>
    <xf numFmtId="169" fontId="31" fillId="0" borderId="0" xfId="0" applyNumberFormat="1" applyFont="1" applyAlignment="1">
      <alignment horizontal="left" vertical="top"/>
    </xf>
    <xf numFmtId="169" fontId="31" fillId="0" borderId="0" xfId="0" applyNumberFormat="1" applyFont="1" applyAlignment="1">
      <alignment horizontal="left" indent="1"/>
    </xf>
    <xf numFmtId="169" fontId="26" fillId="0" borderId="0" xfId="0" applyNumberFormat="1" applyFont="1"/>
    <xf numFmtId="169" fontId="31" fillId="0" borderId="0" xfId="0" applyNumberFormat="1" applyFont="1" applyAlignment="1">
      <alignment horizontal="left" vertical="top" indent="1"/>
    </xf>
    <xf numFmtId="169" fontId="26" fillId="0" borderId="0" xfId="0" applyNumberFormat="1" applyFont="1" applyAlignment="1">
      <alignment horizontal="left" indent="1"/>
    </xf>
    <xf numFmtId="0" fontId="26" fillId="0" borderId="0" xfId="0" applyFont="1" applyAlignment="1">
      <alignment horizontal="left" indent="1"/>
    </xf>
    <xf numFmtId="172" fontId="33" fillId="0" borderId="0" xfId="0" applyNumberFormat="1" applyFont="1"/>
    <xf numFmtId="172" fontId="31" fillId="0" borderId="0" xfId="0" applyNumberFormat="1" applyFont="1"/>
    <xf numFmtId="172" fontId="31" fillId="0" borderId="10" xfId="0" applyNumberFormat="1" applyFont="1" applyBorder="1"/>
    <xf numFmtId="172" fontId="15" fillId="0" borderId="0" xfId="0" applyNumberFormat="1" applyFont="1"/>
    <xf numFmtId="172" fontId="26" fillId="0" borderId="10" xfId="0" applyNumberFormat="1" applyFont="1" applyBorder="1"/>
    <xf numFmtId="171" fontId="31" fillId="0" borderId="0" xfId="0" applyNumberFormat="1" applyFont="1"/>
    <xf numFmtId="170" fontId="31" fillId="0" borderId="0" xfId="0" applyNumberFormat="1" applyFont="1"/>
    <xf numFmtId="172" fontId="30" fillId="0" borderId="10" xfId="0" applyNumberFormat="1" applyFont="1" applyBorder="1"/>
    <xf numFmtId="172" fontId="33" fillId="0" borderId="10" xfId="0" applyNumberFormat="1" applyFont="1" applyBorder="1"/>
    <xf numFmtId="172" fontId="26" fillId="0" borderId="0" xfId="0" applyNumberFormat="1" applyFont="1"/>
    <xf numFmtId="0" fontId="35" fillId="0" borderId="0" xfId="0" applyFont="1"/>
    <xf numFmtId="0" fontId="6" fillId="0" borderId="0" xfId="0" applyFont="1"/>
    <xf numFmtId="169" fontId="6" fillId="0" borderId="0" xfId="0" applyNumberFormat="1" applyFont="1"/>
    <xf numFmtId="169" fontId="6" fillId="0" borderId="0" xfId="0" applyNumberFormat="1" applyFont="1" applyAlignment="1">
      <alignment horizontal="left" indent="1"/>
    </xf>
    <xf numFmtId="170" fontId="31" fillId="0" borderId="9" xfId="0" applyNumberFormat="1" applyFont="1" applyBorder="1"/>
    <xf numFmtId="173" fontId="31" fillId="0" borderId="0" xfId="0" applyNumberFormat="1" applyFont="1"/>
    <xf numFmtId="174" fontId="31" fillId="0" borderId="0" xfId="0" applyNumberFormat="1" applyFont="1"/>
    <xf numFmtId="174" fontId="31" fillId="0" borderId="11" xfId="0" applyNumberFormat="1" applyFont="1" applyBorder="1"/>
    <xf numFmtId="0" fontId="26" fillId="0" borderId="0" xfId="0" applyFont="1" applyAlignment="1">
      <alignment horizontal="left"/>
    </xf>
    <xf numFmtId="175" fontId="36" fillId="0" borderId="0" xfId="0" applyNumberFormat="1" applyFont="1"/>
    <xf numFmtId="175" fontId="36" fillId="0" borderId="9" xfId="0" applyNumberFormat="1" applyFont="1" applyBorder="1"/>
    <xf numFmtId="176" fontId="26" fillId="0" borderId="12" xfId="0" applyNumberFormat="1" applyFont="1" applyBorder="1"/>
    <xf numFmtId="0" fontId="38" fillId="0" borderId="0" xfId="0" applyFont="1" applyAlignment="1">
      <alignment vertical="top"/>
    </xf>
    <xf numFmtId="166" fontId="34" fillId="5" borderId="0" xfId="0" applyNumberFormat="1" applyFont="1" applyFill="1" applyAlignment="1">
      <alignment horizontal="right"/>
    </xf>
    <xf numFmtId="0" fontId="6" fillId="0" borderId="0" xfId="0" applyFont="1" applyAlignment="1">
      <alignment horizontal="left" indent="1"/>
    </xf>
    <xf numFmtId="0" fontId="31" fillId="0" borderId="0" xfId="0" applyFont="1" applyAlignment="1">
      <alignment horizontal="left" indent="2"/>
    </xf>
    <xf numFmtId="176" fontId="39" fillId="0" borderId="0" xfId="0" applyNumberFormat="1" applyFont="1" applyAlignment="1">
      <alignment horizontal="right"/>
    </xf>
    <xf numFmtId="176" fontId="36" fillId="0" borderId="0" xfId="0" applyNumberFormat="1" applyFont="1"/>
    <xf numFmtId="176" fontId="31" fillId="0" borderId="0" xfId="0" applyNumberFormat="1" applyFont="1" applyAlignment="1">
      <alignment horizontal="right"/>
    </xf>
    <xf numFmtId="0" fontId="31" fillId="2" borderId="0" xfId="0" applyFont="1" applyFill="1"/>
    <xf numFmtId="0" fontId="40" fillId="0" borderId="0" xfId="0" applyFont="1" applyAlignment="1">
      <alignment horizontal="left" indent="3"/>
    </xf>
    <xf numFmtId="170" fontId="39" fillId="0" borderId="0" xfId="0" applyNumberFormat="1" applyFont="1" applyAlignment="1">
      <alignment horizontal="right"/>
    </xf>
    <xf numFmtId="170" fontId="6" fillId="0" borderId="0" xfId="0" applyNumberFormat="1" applyFont="1"/>
    <xf numFmtId="170" fontId="33" fillId="0" borderId="0" xfId="0" applyNumberFormat="1" applyFont="1" applyAlignment="1">
      <alignment horizontal="right"/>
    </xf>
    <xf numFmtId="170" fontId="33" fillId="0" borderId="0" xfId="0" applyNumberFormat="1" applyFont="1"/>
    <xf numFmtId="0" fontId="31" fillId="0" borderId="0" xfId="0" applyFont="1" applyAlignment="1">
      <alignment horizontal="left"/>
    </xf>
    <xf numFmtId="0" fontId="31" fillId="0" borderId="0" xfId="0" applyFont="1" applyAlignment="1">
      <alignment horizontal="left" indent="3"/>
    </xf>
    <xf numFmtId="176" fontId="39" fillId="0" borderId="0" xfId="0" applyNumberFormat="1" applyFont="1" applyAlignment="1">
      <alignment horizontal="left" indent="2"/>
    </xf>
    <xf numFmtId="176" fontId="36" fillId="0" borderId="0" xfId="0" applyNumberFormat="1" applyFont="1" applyAlignment="1">
      <alignment horizontal="left" indent="2"/>
    </xf>
    <xf numFmtId="9" fontId="31" fillId="0" borderId="0" xfId="4" applyFont="1"/>
    <xf numFmtId="9" fontId="33" fillId="0" borderId="0" xfId="4" applyFont="1"/>
    <xf numFmtId="170" fontId="15" fillId="0" borderId="0" xfId="0" applyNumberFormat="1" applyFont="1"/>
    <xf numFmtId="170" fontId="26" fillId="0" borderId="10" xfId="0" applyNumberFormat="1" applyFont="1" applyBorder="1"/>
    <xf numFmtId="170" fontId="41" fillId="0" borderId="10" xfId="0" applyNumberFormat="1" applyFont="1" applyBorder="1"/>
    <xf numFmtId="176" fontId="39" fillId="0" borderId="0" xfId="0" applyNumberFormat="1" applyFont="1"/>
    <xf numFmtId="176" fontId="36" fillId="0" borderId="0" xfId="0" applyNumberFormat="1" applyFont="1" applyAlignment="1">
      <alignment horizontal="right"/>
    </xf>
    <xf numFmtId="177" fontId="31" fillId="0" borderId="0" xfId="4" applyNumberFormat="1" applyFont="1"/>
    <xf numFmtId="9" fontId="26" fillId="0" borderId="0" xfId="4" applyFont="1"/>
    <xf numFmtId="170" fontId="42" fillId="0" borderId="10" xfId="0" applyNumberFormat="1" applyFont="1" applyBorder="1"/>
    <xf numFmtId="170" fontId="30" fillId="0" borderId="10" xfId="0" applyNumberFormat="1" applyFont="1" applyBorder="1"/>
    <xf numFmtId="170" fontId="36" fillId="0" borderId="0" xfId="0" applyNumberFormat="1" applyFont="1"/>
    <xf numFmtId="170" fontId="31" fillId="0" borderId="0" xfId="0" applyNumberFormat="1" applyFont="1" applyAlignment="1">
      <alignment horizontal="right"/>
    </xf>
    <xf numFmtId="177" fontId="31" fillId="0" borderId="0" xfId="4" applyNumberFormat="1" applyFont="1" applyAlignment="1">
      <alignment horizontal="right"/>
    </xf>
    <xf numFmtId="177" fontId="33" fillId="0" borderId="0" xfId="4" applyNumberFormat="1" applyFont="1" applyAlignment="1">
      <alignment horizontal="right"/>
    </xf>
    <xf numFmtId="170" fontId="26" fillId="0" borderId="0" xfId="0" applyNumberFormat="1" applyFont="1"/>
    <xf numFmtId="0" fontId="30" fillId="0" borderId="0" xfId="0" applyFont="1"/>
    <xf numFmtId="37" fontId="25" fillId="4" borderId="0" xfId="0" applyNumberFormat="1" applyFont="1" applyFill="1" applyAlignment="1">
      <alignment vertical="center"/>
    </xf>
    <xf numFmtId="37" fontId="44" fillId="4" borderId="0" xfId="0" applyNumberFormat="1" applyFont="1" applyFill="1" applyAlignment="1">
      <alignment vertical="center"/>
    </xf>
    <xf numFmtId="166" fontId="25" fillId="4" borderId="0" xfId="0" applyNumberFormat="1" applyFont="1" applyFill="1" applyAlignment="1">
      <alignment horizontal="right"/>
    </xf>
    <xf numFmtId="9" fontId="33" fillId="0" borderId="0" xfId="4" applyFont="1" applyBorder="1"/>
    <xf numFmtId="9" fontId="31" fillId="0" borderId="0" xfId="4" applyFont="1" applyBorder="1"/>
    <xf numFmtId="177" fontId="33" fillId="0" borderId="0" xfId="4" applyNumberFormat="1" applyFont="1"/>
    <xf numFmtId="9" fontId="31" fillId="0" borderId="0" xfId="4" applyFont="1" applyAlignment="1">
      <alignment horizontal="right"/>
    </xf>
    <xf numFmtId="170" fontId="31" fillId="0" borderId="0" xfId="4" applyNumberFormat="1" applyFont="1"/>
    <xf numFmtId="0" fontId="5" fillId="0" borderId="0" xfId="0" applyFont="1"/>
    <xf numFmtId="177" fontId="26" fillId="0" borderId="13" xfId="4" applyNumberFormat="1" applyFont="1" applyBorder="1"/>
    <xf numFmtId="177" fontId="26" fillId="0" borderId="14" xfId="4" applyNumberFormat="1" applyFont="1" applyBorder="1"/>
    <xf numFmtId="177" fontId="26" fillId="0" borderId="15" xfId="4" applyNumberFormat="1" applyFont="1" applyBorder="1"/>
    <xf numFmtId="170" fontId="31" fillId="0" borderId="10" xfId="0" applyNumberFormat="1" applyFont="1" applyBorder="1"/>
    <xf numFmtId="0" fontId="45" fillId="0" borderId="0" xfId="2" applyFont="1"/>
    <xf numFmtId="0" fontId="17" fillId="0" borderId="0" xfId="0" applyFont="1"/>
    <xf numFmtId="0" fontId="46" fillId="0" borderId="0" xfId="0" applyFont="1" applyAlignment="1">
      <alignment horizontal="left"/>
    </xf>
    <xf numFmtId="0" fontId="45" fillId="0" borderId="0" xfId="0" applyFont="1" applyAlignment="1">
      <alignment horizontal="left"/>
    </xf>
    <xf numFmtId="0" fontId="4" fillId="0" borderId="0" xfId="0" applyFont="1"/>
    <xf numFmtId="166" fontId="30" fillId="0" borderId="0" xfId="0" applyNumberFormat="1" applyFont="1" applyAlignment="1">
      <alignment horizontal="right"/>
    </xf>
    <xf numFmtId="0" fontId="39" fillId="0" borderId="0" xfId="0" applyFont="1" applyAlignment="1">
      <alignment horizontal="left" indent="1"/>
    </xf>
    <xf numFmtId="0" fontId="31" fillId="0" borderId="0" xfId="0" applyFont="1" applyAlignment="1">
      <alignment vertical="center"/>
    </xf>
    <xf numFmtId="0" fontId="48" fillId="0" borderId="0" xfId="0" quotePrefix="1" applyFont="1" applyAlignment="1">
      <alignment horizontal="center" vertical="center"/>
    </xf>
    <xf numFmtId="0" fontId="39" fillId="0" borderId="0" xfId="0" applyFont="1" applyAlignment="1">
      <alignment vertical="center"/>
    </xf>
    <xf numFmtId="0" fontId="50" fillId="0" borderId="0" xfId="0" quotePrefix="1" applyFont="1" applyAlignment="1">
      <alignment horizontal="center" vertical="center"/>
    </xf>
    <xf numFmtId="166" fontId="30" fillId="2" borderId="0" xfId="0" applyNumberFormat="1" applyFont="1" applyFill="1" applyAlignment="1">
      <alignment horizontal="right"/>
    </xf>
    <xf numFmtId="180" fontId="39" fillId="2" borderId="0" xfId="0" applyNumberFormat="1" applyFont="1" applyFill="1"/>
    <xf numFmtId="174" fontId="15" fillId="5" borderId="0" xfId="0" applyNumberFormat="1" applyFont="1" applyFill="1" applyAlignment="1">
      <alignment horizontal="right"/>
    </xf>
    <xf numFmtId="0" fontId="4" fillId="2" borderId="0" xfId="0" applyFont="1" applyFill="1"/>
    <xf numFmtId="174" fontId="31" fillId="2" borderId="10" xfId="0" applyNumberFormat="1" applyFont="1" applyFill="1" applyBorder="1"/>
    <xf numFmtId="10" fontId="31" fillId="5" borderId="10" xfId="0" applyNumberFormat="1" applyFont="1" applyFill="1" applyBorder="1"/>
    <xf numFmtId="181" fontId="15" fillId="5" borderId="10" xfId="0" applyNumberFormat="1" applyFont="1" applyFill="1" applyBorder="1" applyAlignment="1">
      <alignment horizontal="right"/>
    </xf>
    <xf numFmtId="0" fontId="26" fillId="0" borderId="10" xfId="0" applyFont="1" applyBorder="1"/>
    <xf numFmtId="0" fontId="31" fillId="0" borderId="10" xfId="0" applyFont="1" applyBorder="1"/>
    <xf numFmtId="0" fontId="31" fillId="2" borderId="10" xfId="0" applyFont="1" applyFill="1" applyBorder="1"/>
    <xf numFmtId="0" fontId="51" fillId="0" borderId="0" xfId="0" applyFont="1" applyAlignment="1">
      <alignment horizontal="left"/>
    </xf>
    <xf numFmtId="0" fontId="4" fillId="0" borderId="10" xfId="0" applyFont="1" applyBorder="1"/>
    <xf numFmtId="37" fontId="29" fillId="0" borderId="10" xfId="0" applyNumberFormat="1" applyFont="1" applyBorder="1" applyAlignment="1">
      <alignment vertical="center"/>
    </xf>
    <xf numFmtId="166" fontId="30" fillId="2" borderId="10" xfId="0" applyNumberFormat="1" applyFont="1" applyFill="1" applyBorder="1" applyAlignment="1">
      <alignment horizontal="right"/>
    </xf>
    <xf numFmtId="0" fontId="48" fillId="0" borderId="10" xfId="0" applyFont="1" applyBorder="1" applyAlignment="1">
      <alignment vertical="center"/>
    </xf>
    <xf numFmtId="178" fontId="33" fillId="2" borderId="0" xfId="0" applyNumberFormat="1" applyFont="1" applyFill="1" applyAlignment="1">
      <alignment vertical="center"/>
    </xf>
    <xf numFmtId="179" fontId="33" fillId="2" borderId="0" xfId="0" applyNumberFormat="1" applyFont="1" applyFill="1"/>
    <xf numFmtId="177" fontId="33" fillId="2" borderId="0" xfId="4" applyNumberFormat="1" applyFont="1" applyFill="1" applyAlignment="1">
      <alignment horizontal="right"/>
    </xf>
    <xf numFmtId="170" fontId="33" fillId="2" borderId="0" xfId="5" applyNumberFormat="1" applyFont="1" applyFill="1" applyBorder="1" applyAlignment="1">
      <alignment vertical="center"/>
    </xf>
    <xf numFmtId="182" fontId="33" fillId="2" borderId="0" xfId="4" applyNumberFormat="1" applyFont="1" applyFill="1" applyBorder="1" applyAlignment="1">
      <alignment horizontal="right" vertical="center"/>
    </xf>
    <xf numFmtId="0" fontId="52" fillId="0" borderId="0" xfId="0" applyFont="1"/>
    <xf numFmtId="0" fontId="53" fillId="0" borderId="0" xfId="0" applyFont="1"/>
    <xf numFmtId="164" fontId="54" fillId="0" borderId="0" xfId="0" applyNumberFormat="1" applyFont="1" applyAlignment="1">
      <alignment vertical="center"/>
    </xf>
    <xf numFmtId="37" fontId="55" fillId="0" borderId="0" xfId="0" applyNumberFormat="1" applyFont="1" applyAlignment="1">
      <alignment vertical="center"/>
    </xf>
    <xf numFmtId="167" fontId="56" fillId="0" borderId="9" xfId="0" applyNumberFormat="1" applyFont="1" applyBorder="1" applyAlignment="1">
      <alignment horizontal="right" vertical="center"/>
    </xf>
    <xf numFmtId="168" fontId="56" fillId="0" borderId="9" xfId="0" applyNumberFormat="1" applyFont="1" applyBorder="1" applyAlignment="1">
      <alignment horizontal="right" vertical="center"/>
    </xf>
    <xf numFmtId="37" fontId="57" fillId="4" borderId="0" xfId="0" applyNumberFormat="1" applyFont="1" applyFill="1" applyAlignment="1">
      <alignment vertical="center"/>
    </xf>
    <xf numFmtId="37" fontId="58" fillId="4" borderId="0" xfId="0" applyNumberFormat="1" applyFont="1" applyFill="1" applyAlignment="1">
      <alignment vertical="center"/>
    </xf>
    <xf numFmtId="166" fontId="57" fillId="4" borderId="0" xfId="0" applyNumberFormat="1" applyFont="1" applyFill="1" applyAlignment="1">
      <alignment horizontal="right"/>
    </xf>
    <xf numFmtId="9" fontId="52" fillId="0" borderId="0" xfId="4" applyFont="1"/>
    <xf numFmtId="177" fontId="52" fillId="0" borderId="0" xfId="4" applyNumberFormat="1" applyFont="1"/>
    <xf numFmtId="0" fontId="52" fillId="0" borderId="0" xfId="0" applyFont="1" applyAlignment="1">
      <alignment horizontal="left" indent="1"/>
    </xf>
    <xf numFmtId="170" fontId="59" fillId="0" borderId="0" xfId="0" applyNumberFormat="1" applyFont="1"/>
    <xf numFmtId="170" fontId="52" fillId="0" borderId="0" xfId="0" applyNumberFormat="1" applyFont="1"/>
    <xf numFmtId="170" fontId="49" fillId="0" borderId="0" xfId="0" applyNumberFormat="1" applyFont="1"/>
    <xf numFmtId="170" fontId="39" fillId="0" borderId="0" xfId="0" applyNumberFormat="1" applyFont="1"/>
    <xf numFmtId="0" fontId="52" fillId="2" borderId="0" xfId="0" applyFont="1" applyFill="1"/>
    <xf numFmtId="170" fontId="31" fillId="5" borderId="10" xfId="0" applyNumberFormat="1" applyFont="1" applyFill="1" applyBorder="1"/>
    <xf numFmtId="170" fontId="31" fillId="5" borderId="0" xfId="0" applyNumberFormat="1" applyFont="1" applyFill="1"/>
    <xf numFmtId="0" fontId="48" fillId="0" borderId="0" xfId="0" applyFont="1"/>
    <xf numFmtId="170" fontId="61" fillId="0" borderId="0" xfId="0" applyNumberFormat="1" applyFont="1" applyAlignment="1">
      <alignment horizontal="right"/>
    </xf>
    <xf numFmtId="170" fontId="36" fillId="0" borderId="0" xfId="0" applyNumberFormat="1" applyFont="1" applyAlignment="1">
      <alignment horizontal="right"/>
    </xf>
    <xf numFmtId="175" fontId="31" fillId="0" borderId="0" xfId="0" applyNumberFormat="1" applyFont="1"/>
    <xf numFmtId="176" fontId="48" fillId="0" borderId="0" xfId="0" applyNumberFormat="1" applyFont="1" applyAlignment="1">
      <alignment horizontal="right"/>
    </xf>
    <xf numFmtId="0" fontId="26" fillId="0" borderId="9" xfId="0" applyFont="1" applyBorder="1" applyAlignment="1">
      <alignment horizontal="right"/>
    </xf>
    <xf numFmtId="0" fontId="47" fillId="0" borderId="0" xfId="0" applyFont="1"/>
    <xf numFmtId="0" fontId="17" fillId="0" borderId="0" xfId="2" applyFont="1"/>
    <xf numFmtId="174" fontId="60" fillId="0" borderId="0" xfId="0" applyNumberFormat="1" applyFont="1"/>
    <xf numFmtId="0" fontId="15" fillId="0" borderId="0" xfId="0" applyFont="1"/>
    <xf numFmtId="0" fontId="15" fillId="0" borderId="0" xfId="0" applyFont="1" applyAlignment="1">
      <alignment horizontal="left" indent="1"/>
    </xf>
    <xf numFmtId="170" fontId="60" fillId="0" borderId="0" xfId="0" applyNumberFormat="1" applyFont="1"/>
    <xf numFmtId="0" fontId="48" fillId="0" borderId="0" xfId="0" applyFont="1" applyAlignment="1">
      <alignment horizontal="left" indent="1"/>
    </xf>
    <xf numFmtId="176" fontId="48" fillId="0" borderId="0" xfId="0" applyNumberFormat="1" applyFont="1"/>
    <xf numFmtId="0" fontId="30" fillId="0" borderId="0" xfId="0" applyFont="1" applyAlignment="1">
      <alignment horizontal="left"/>
    </xf>
    <xf numFmtId="0" fontId="31" fillId="0" borderId="0" xfId="0" applyFont="1" applyAlignment="1">
      <alignment horizontal="center"/>
    </xf>
    <xf numFmtId="185" fontId="31" fillId="0" borderId="0" xfId="0" applyNumberFormat="1" applyFont="1" applyAlignment="1">
      <alignment horizontal="right"/>
    </xf>
    <xf numFmtId="174" fontId="60" fillId="0" borderId="0" xfId="0" applyNumberFormat="1" applyFont="1" applyAlignment="1">
      <alignment horizontal="right"/>
    </xf>
    <xf numFmtId="0" fontId="39" fillId="0" borderId="0" xfId="0" applyFont="1"/>
    <xf numFmtId="170" fontId="39" fillId="5" borderId="0" xfId="0" applyNumberFormat="1" applyFont="1" applyFill="1"/>
    <xf numFmtId="170" fontId="60" fillId="5" borderId="0" xfId="0" applyNumberFormat="1" applyFont="1" applyFill="1"/>
    <xf numFmtId="170" fontId="4" fillId="0" borderId="0" xfId="0" applyNumberFormat="1" applyFont="1"/>
    <xf numFmtId="170" fontId="36" fillId="2" borderId="0" xfId="0" applyNumberFormat="1" applyFont="1" applyFill="1" applyAlignment="1">
      <alignment horizontal="right"/>
    </xf>
    <xf numFmtId="170" fontId="31" fillId="2" borderId="0" xfId="0" applyNumberFormat="1" applyFont="1" applyFill="1"/>
    <xf numFmtId="170" fontId="48" fillId="0" borderId="0" xfId="0" applyNumberFormat="1" applyFont="1" applyAlignment="1">
      <alignment horizontal="right"/>
    </xf>
    <xf numFmtId="9" fontId="50" fillId="0" borderId="0" xfId="4" applyFont="1"/>
    <xf numFmtId="9" fontId="50" fillId="0" borderId="0" xfId="4" applyFont="1" applyBorder="1"/>
    <xf numFmtId="10" fontId="59" fillId="0" borderId="0" xfId="4" applyNumberFormat="1" applyFont="1"/>
    <xf numFmtId="2" fontId="62" fillId="0" borderId="0" xfId="0" applyNumberFormat="1" applyFont="1"/>
    <xf numFmtId="0" fontId="62" fillId="0" borderId="0" xfId="0" applyFont="1"/>
    <xf numFmtId="177" fontId="52" fillId="0" borderId="0" xfId="4" applyNumberFormat="1" applyFont="1" applyAlignment="1">
      <alignment horizontal="right"/>
    </xf>
    <xf numFmtId="9" fontId="52" fillId="0" borderId="0" xfId="4" applyFont="1" applyAlignment="1">
      <alignment horizontal="right"/>
    </xf>
    <xf numFmtId="179" fontId="62" fillId="0" borderId="0" xfId="0" applyNumberFormat="1" applyFont="1"/>
    <xf numFmtId="170" fontId="63" fillId="0" borderId="0" xfId="0" applyNumberFormat="1" applyFont="1"/>
    <xf numFmtId="9" fontId="48" fillId="0" borderId="0" xfId="4" applyFont="1" applyAlignment="1">
      <alignment horizontal="right"/>
    </xf>
    <xf numFmtId="177" fontId="64" fillId="5" borderId="0" xfId="4" applyNumberFormat="1" applyFont="1" applyFill="1"/>
    <xf numFmtId="177" fontId="36" fillId="0" borderId="0" xfId="4" applyNumberFormat="1" applyFont="1"/>
    <xf numFmtId="170" fontId="60" fillId="2" borderId="0" xfId="0" applyNumberFormat="1" applyFont="1" applyFill="1"/>
    <xf numFmtId="177" fontId="60" fillId="0" borderId="0" xfId="4" applyNumberFormat="1" applyFont="1"/>
    <xf numFmtId="10" fontId="60" fillId="0" borderId="0" xfId="4" applyNumberFormat="1" applyFont="1"/>
    <xf numFmtId="170" fontId="60" fillId="0" borderId="9" xfId="0" applyNumberFormat="1" applyFont="1" applyBorder="1"/>
    <xf numFmtId="177" fontId="65" fillId="5" borderId="0" xfId="4" applyNumberFormat="1" applyFont="1" applyFill="1"/>
    <xf numFmtId="10" fontId="60" fillId="0" borderId="0" xfId="0" applyNumberFormat="1" applyFont="1"/>
    <xf numFmtId="0" fontId="15" fillId="0" borderId="0" xfId="0" applyFont="1" applyAlignment="1">
      <alignment horizontal="left"/>
    </xf>
    <xf numFmtId="170" fontId="31" fillId="5" borderId="16" xfId="0" applyNumberFormat="1" applyFont="1" applyFill="1" applyBorder="1"/>
    <xf numFmtId="183" fontId="31" fillId="5" borderId="0" xfId="0" applyNumberFormat="1" applyFont="1" applyFill="1"/>
    <xf numFmtId="0" fontId="31" fillId="0" borderId="20" xfId="0" applyFont="1" applyBorder="1" applyAlignment="1">
      <alignment horizontal="left" indent="1"/>
    </xf>
    <xf numFmtId="0" fontId="31" fillId="0" borderId="22" xfId="0" applyFont="1" applyBorder="1" applyAlignment="1">
      <alignment horizontal="left" indent="1"/>
    </xf>
    <xf numFmtId="0" fontId="31" fillId="0" borderId="9" xfId="0" applyFont="1" applyBorder="1"/>
    <xf numFmtId="170" fontId="41" fillId="0" borderId="0" xfId="0" applyNumberFormat="1" applyFont="1" applyAlignment="1">
      <alignment horizontal="left" indent="2"/>
    </xf>
    <xf numFmtId="0" fontId="67" fillId="0" borderId="0" xfId="0" applyFont="1" applyAlignment="1">
      <alignment horizontal="center"/>
    </xf>
    <xf numFmtId="0" fontId="67" fillId="0" borderId="21" xfId="0" applyFont="1" applyBorder="1" applyAlignment="1">
      <alignment horizontal="center"/>
    </xf>
    <xf numFmtId="186" fontId="39" fillId="0" borderId="21" xfId="0" applyNumberFormat="1" applyFont="1" applyBorder="1" applyAlignment="1">
      <alignment horizontal="center"/>
    </xf>
    <xf numFmtId="186" fontId="39" fillId="0" borderId="9" xfId="0" applyNumberFormat="1" applyFont="1" applyBorder="1" applyAlignment="1">
      <alignment horizontal="center"/>
    </xf>
    <xf numFmtId="186" fontId="39" fillId="0" borderId="23" xfId="0" applyNumberFormat="1" applyFont="1" applyBorder="1" applyAlignment="1">
      <alignment horizontal="center"/>
    </xf>
    <xf numFmtId="0" fontId="67" fillId="0" borderId="24" xfId="0" applyFont="1" applyBorder="1" applyAlignment="1">
      <alignment horizontal="center"/>
    </xf>
    <xf numFmtId="170" fontId="66" fillId="0" borderId="17" xfId="0" applyNumberFormat="1" applyFont="1" applyBorder="1" applyAlignment="1">
      <alignment horizontal="center"/>
    </xf>
    <xf numFmtId="170" fontId="66" fillId="0" borderId="15" xfId="0" applyNumberFormat="1" applyFont="1" applyBorder="1" applyAlignment="1">
      <alignment horizontal="center"/>
    </xf>
    <xf numFmtId="167" fontId="42" fillId="0" borderId="9" xfId="0" applyNumberFormat="1" applyFont="1" applyBorder="1" applyAlignment="1">
      <alignment horizontal="right" vertical="center"/>
    </xf>
    <xf numFmtId="167" fontId="68" fillId="0" borderId="9" xfId="0" applyNumberFormat="1" applyFont="1" applyBorder="1" applyAlignment="1">
      <alignment horizontal="right" vertical="center"/>
    </xf>
    <xf numFmtId="168" fontId="68" fillId="0" borderId="9" xfId="0" applyNumberFormat="1" applyFont="1" applyBorder="1" applyAlignment="1">
      <alignment horizontal="right" vertical="center"/>
    </xf>
    <xf numFmtId="170" fontId="36" fillId="2" borderId="0" xfId="0" applyNumberFormat="1" applyFont="1" applyFill="1"/>
    <xf numFmtId="170" fontId="31" fillId="2" borderId="28" xfId="0" applyNumberFormat="1" applyFont="1" applyFill="1" applyBorder="1"/>
    <xf numFmtId="170" fontId="31" fillId="5" borderId="28" xfId="0" applyNumberFormat="1" applyFont="1" applyFill="1" applyBorder="1"/>
    <xf numFmtId="176" fontId="31" fillId="5" borderId="0" xfId="0" applyNumberFormat="1" applyFont="1" applyFill="1"/>
    <xf numFmtId="179" fontId="31" fillId="5" borderId="0" xfId="0" applyNumberFormat="1" applyFont="1" applyFill="1"/>
    <xf numFmtId="186" fontId="15" fillId="0" borderId="0" xfId="0" applyNumberFormat="1" applyFont="1" applyAlignment="1">
      <alignment horizontal="center"/>
    </xf>
    <xf numFmtId="186" fontId="15" fillId="0" borderId="21" xfId="0" applyNumberFormat="1" applyFont="1" applyBorder="1" applyAlignment="1">
      <alignment horizontal="center"/>
    </xf>
    <xf numFmtId="186" fontId="33" fillId="0" borderId="24" xfId="0" applyNumberFormat="1" applyFont="1" applyBorder="1" applyAlignment="1">
      <alignment horizontal="center"/>
    </xf>
    <xf numFmtId="170" fontId="33" fillId="0" borderId="25" xfId="0" applyNumberFormat="1" applyFont="1" applyBorder="1"/>
    <xf numFmtId="170" fontId="31" fillId="0" borderId="26" xfId="0" applyNumberFormat="1" applyFont="1" applyBorder="1"/>
    <xf numFmtId="170" fontId="31" fillId="0" borderId="27" xfId="0" applyNumberFormat="1" applyFont="1" applyBorder="1"/>
    <xf numFmtId="9" fontId="31" fillId="5" borderId="0" xfId="4" applyFont="1" applyFill="1"/>
    <xf numFmtId="170" fontId="31" fillId="2" borderId="10" xfId="0" applyNumberFormat="1" applyFont="1" applyFill="1" applyBorder="1"/>
    <xf numFmtId="0" fontId="4" fillId="0" borderId="37" xfId="0" applyFont="1" applyBorder="1"/>
    <xf numFmtId="170" fontId="69" fillId="2" borderId="0" xfId="0" applyNumberFormat="1" applyFont="1" applyFill="1"/>
    <xf numFmtId="177" fontId="15" fillId="0" borderId="0" xfId="4" applyNumberFormat="1" applyFont="1"/>
    <xf numFmtId="0" fontId="41" fillId="0" borderId="0" xfId="0" applyFont="1" applyAlignment="1">
      <alignment horizontal="left"/>
    </xf>
    <xf numFmtId="0" fontId="70" fillId="0" borderId="0" xfId="0" applyFont="1" applyAlignment="1">
      <alignment horizontal="center"/>
    </xf>
    <xf numFmtId="0" fontId="39" fillId="0" borderId="29" xfId="0" applyFont="1" applyBorder="1" applyAlignment="1">
      <alignment horizontal="left" indent="1"/>
    </xf>
    <xf numFmtId="0" fontId="70" fillId="0" borderId="28" xfId="0" applyFont="1" applyBorder="1"/>
    <xf numFmtId="0" fontId="31" fillId="0" borderId="28" xfId="0" applyFont="1" applyBorder="1"/>
    <xf numFmtId="0" fontId="39" fillId="0" borderId="31" xfId="0" applyFont="1" applyBorder="1" applyAlignment="1">
      <alignment horizontal="left" indent="1"/>
    </xf>
    <xf numFmtId="0" fontId="70" fillId="0" borderId="32" xfId="0" applyFont="1" applyBorder="1"/>
    <xf numFmtId="0" fontId="39" fillId="0" borderId="34" xfId="0" applyFont="1" applyBorder="1" applyAlignment="1">
      <alignment horizontal="left" indent="1"/>
    </xf>
    <xf numFmtId="0" fontId="31" fillId="0" borderId="32" xfId="0" applyFont="1" applyBorder="1"/>
    <xf numFmtId="170" fontId="31" fillId="0" borderId="30" xfId="0" applyNumberFormat="1" applyFont="1" applyBorder="1"/>
    <xf numFmtId="170" fontId="66" fillId="0" borderId="0" xfId="0" applyNumberFormat="1" applyFont="1" applyAlignment="1">
      <alignment horizontal="center"/>
    </xf>
    <xf numFmtId="179" fontId="39" fillId="0" borderId="0" xfId="5" applyNumberFormat="1" applyFont="1" applyFill="1" applyBorder="1" applyAlignment="1">
      <alignment horizontal="center"/>
    </xf>
    <xf numFmtId="170" fontId="63" fillId="5" borderId="0" xfId="4" applyNumberFormat="1" applyFont="1" applyFill="1"/>
    <xf numFmtId="9" fontId="63" fillId="5" borderId="0" xfId="4" applyFont="1" applyFill="1"/>
    <xf numFmtId="175" fontId="63" fillId="5" borderId="0" xfId="0" applyNumberFormat="1" applyFont="1" applyFill="1"/>
    <xf numFmtId="175" fontId="31" fillId="5" borderId="0" xfId="0" applyNumberFormat="1" applyFont="1" applyFill="1"/>
    <xf numFmtId="170" fontId="63" fillId="2" borderId="28" xfId="0" applyNumberFormat="1" applyFont="1" applyFill="1" applyBorder="1"/>
    <xf numFmtId="179" fontId="15" fillId="5" borderId="0" xfId="0" applyNumberFormat="1" applyFont="1" applyFill="1"/>
    <xf numFmtId="0" fontId="70" fillId="2" borderId="0" xfId="0" applyFont="1" applyFill="1"/>
    <xf numFmtId="0" fontId="41" fillId="2" borderId="0" xfId="0" applyFont="1" applyFill="1" applyAlignment="1">
      <alignment horizontal="left"/>
    </xf>
    <xf numFmtId="170" fontId="39" fillId="5" borderId="30" xfId="0" applyNumberFormat="1" applyFont="1" applyFill="1" applyBorder="1"/>
    <xf numFmtId="0" fontId="39" fillId="2" borderId="29" xfId="0" applyFont="1" applyFill="1" applyBorder="1" applyAlignment="1">
      <alignment horizontal="left" indent="1"/>
    </xf>
    <xf numFmtId="0" fontId="31" fillId="2" borderId="28" xfId="0" applyFont="1" applyFill="1" applyBorder="1"/>
    <xf numFmtId="175" fontId="48" fillId="5" borderId="28" xfId="0" applyNumberFormat="1" applyFont="1" applyFill="1" applyBorder="1"/>
    <xf numFmtId="170" fontId="31" fillId="5" borderId="30" xfId="0" applyNumberFormat="1" applyFont="1" applyFill="1" applyBorder="1"/>
    <xf numFmtId="0" fontId="39" fillId="2" borderId="34" xfId="0" applyFont="1" applyFill="1" applyBorder="1" applyAlignment="1">
      <alignment horizontal="left" indent="1"/>
    </xf>
    <xf numFmtId="175" fontId="48" fillId="5" borderId="0" xfId="0" applyNumberFormat="1" applyFont="1" applyFill="1"/>
    <xf numFmtId="170" fontId="31" fillId="5" borderId="35" xfId="0" applyNumberFormat="1" applyFont="1" applyFill="1" applyBorder="1"/>
    <xf numFmtId="0" fontId="39" fillId="2" borderId="31" xfId="0" applyFont="1" applyFill="1" applyBorder="1" applyAlignment="1">
      <alignment horizontal="left" indent="1"/>
    </xf>
    <xf numFmtId="0" fontId="31" fillId="2" borderId="32" xfId="0" applyFont="1" applyFill="1" applyBorder="1"/>
    <xf numFmtId="175" fontId="48" fillId="5" borderId="32" xfId="0" applyNumberFormat="1" applyFont="1" applyFill="1" applyBorder="1"/>
    <xf numFmtId="170" fontId="31" fillId="5" borderId="36" xfId="0" applyNumberFormat="1" applyFont="1" applyFill="1" applyBorder="1"/>
    <xf numFmtId="170" fontId="36" fillId="0" borderId="25" xfId="0" applyNumberFormat="1" applyFont="1" applyBorder="1"/>
    <xf numFmtId="170" fontId="60" fillId="0" borderId="27" xfId="0" applyNumberFormat="1" applyFont="1" applyBorder="1"/>
    <xf numFmtId="170" fontId="63" fillId="2" borderId="10" xfId="0" applyNumberFormat="1" applyFont="1" applyFill="1" applyBorder="1"/>
    <xf numFmtId="0" fontId="3" fillId="0" borderId="0" xfId="0" applyFont="1"/>
    <xf numFmtId="0" fontId="31" fillId="0" borderId="0" xfId="0" applyFont="1" applyAlignment="1">
      <alignment horizontal="centerContinuous"/>
    </xf>
    <xf numFmtId="179" fontId="71" fillId="0" borderId="0" xfId="0" applyNumberFormat="1" applyFont="1"/>
    <xf numFmtId="178" fontId="31" fillId="0" borderId="38" xfId="0" applyNumberFormat="1" applyFont="1" applyBorder="1"/>
    <xf numFmtId="178" fontId="31" fillId="0" borderId="39" xfId="0" applyNumberFormat="1" applyFont="1" applyBorder="1"/>
    <xf numFmtId="178" fontId="36" fillId="0" borderId="39" xfId="0" applyNumberFormat="1" applyFont="1" applyBorder="1"/>
    <xf numFmtId="178" fontId="71" fillId="0" borderId="0" xfId="0" applyNumberFormat="1" applyFont="1"/>
    <xf numFmtId="181" fontId="31" fillId="0" borderId="38" xfId="0" applyNumberFormat="1" applyFont="1" applyBorder="1"/>
    <xf numFmtId="181" fontId="36" fillId="0" borderId="38" xfId="0" applyNumberFormat="1" applyFont="1" applyBorder="1"/>
    <xf numFmtId="182" fontId="31" fillId="0" borderId="40" xfId="0" applyNumberFormat="1" applyFont="1" applyBorder="1" applyAlignment="1">
      <alignment horizontal="left" indent="2"/>
    </xf>
    <xf numFmtId="182" fontId="31" fillId="0" borderId="0" xfId="0" applyNumberFormat="1" applyFont="1" applyAlignment="1">
      <alignment horizontal="left" indent="2"/>
    </xf>
    <xf numFmtId="182" fontId="31" fillId="0" borderId="16" xfId="0" applyNumberFormat="1" applyFont="1" applyBorder="1" applyAlignment="1">
      <alignment horizontal="left" indent="2"/>
    </xf>
    <xf numFmtId="178" fontId="69" fillId="0" borderId="38" xfId="0" applyNumberFormat="1" applyFont="1" applyBorder="1"/>
    <xf numFmtId="178" fontId="69" fillId="0" borderId="39" xfId="0" applyNumberFormat="1" applyFont="1" applyBorder="1"/>
    <xf numFmtId="164" fontId="65" fillId="0" borderId="0" xfId="0" applyNumberFormat="1" applyFont="1" applyAlignment="1">
      <alignment vertical="center"/>
    </xf>
    <xf numFmtId="170" fontId="33" fillId="0" borderId="9" xfId="0" applyNumberFormat="1" applyFont="1" applyBorder="1"/>
    <xf numFmtId="170" fontId="39" fillId="5" borderId="33" xfId="0" applyNumberFormat="1" applyFont="1" applyFill="1" applyBorder="1"/>
    <xf numFmtId="181" fontId="60" fillId="0" borderId="0" xfId="0" applyNumberFormat="1" applyFont="1"/>
    <xf numFmtId="176" fontId="48" fillId="5" borderId="0" xfId="0" applyNumberFormat="1" applyFont="1" applyFill="1"/>
    <xf numFmtId="170" fontId="61" fillId="2" borderId="0" xfId="0" applyNumberFormat="1" applyFont="1" applyFill="1" applyAlignment="1">
      <alignment horizontal="right"/>
    </xf>
    <xf numFmtId="176" fontId="64" fillId="5" borderId="0" xfId="0" applyNumberFormat="1" applyFont="1" applyFill="1"/>
    <xf numFmtId="170" fontId="69" fillId="5" borderId="0" xfId="0" applyNumberFormat="1" applyFont="1" applyFill="1"/>
    <xf numFmtId="170" fontId="15" fillId="5" borderId="35" xfId="0" applyNumberFormat="1" applyFont="1" applyFill="1" applyBorder="1"/>
    <xf numFmtId="170" fontId="60" fillId="0" borderId="35" xfId="0" applyNumberFormat="1" applyFont="1" applyBorder="1"/>
    <xf numFmtId="182" fontId="31" fillId="0" borderId="36" xfId="0" applyNumberFormat="1" applyFont="1" applyBorder="1" applyAlignment="1">
      <alignment horizontal="left" indent="2"/>
    </xf>
    <xf numFmtId="182" fontId="15" fillId="0" borderId="40" xfId="0" applyNumberFormat="1" applyFont="1" applyBorder="1" applyAlignment="1">
      <alignment horizontal="left" indent="2"/>
    </xf>
    <xf numFmtId="182" fontId="15" fillId="0" borderId="0" xfId="0" applyNumberFormat="1" applyFont="1" applyAlignment="1">
      <alignment horizontal="left" indent="2"/>
    </xf>
    <xf numFmtId="182" fontId="15" fillId="0" borderId="16" xfId="0" applyNumberFormat="1" applyFont="1" applyBorder="1" applyAlignment="1">
      <alignment horizontal="left" indent="2"/>
    </xf>
    <xf numFmtId="169" fontId="31" fillId="0" borderId="0" xfId="0" applyNumberFormat="1" applyFont="1"/>
    <xf numFmtId="183" fontId="36" fillId="0" borderId="0" xfId="0" applyNumberFormat="1" applyFont="1"/>
    <xf numFmtId="183" fontId="39" fillId="2" borderId="0" xfId="0" applyNumberFormat="1" applyFont="1" applyFill="1"/>
    <xf numFmtId="176" fontId="36" fillId="2" borderId="0" xfId="0" applyNumberFormat="1" applyFont="1" applyFill="1"/>
    <xf numFmtId="170" fontId="39" fillId="2" borderId="0" xfId="0" applyNumberFormat="1" applyFont="1" applyFill="1"/>
    <xf numFmtId="166" fontId="41" fillId="0" borderId="9" xfId="0" applyNumberFormat="1" applyFont="1" applyBorder="1" applyAlignment="1">
      <alignment horizontal="centerContinuous" vertical="center"/>
    </xf>
    <xf numFmtId="166" fontId="41" fillId="0" borderId="0" xfId="0" applyNumberFormat="1" applyFont="1" applyAlignment="1">
      <alignment vertical="center"/>
    </xf>
    <xf numFmtId="166" fontId="74" fillId="0" borderId="9" xfId="0" applyNumberFormat="1" applyFont="1" applyBorder="1" applyAlignment="1">
      <alignment horizontal="right" vertical="center"/>
    </xf>
    <xf numFmtId="187" fontId="75" fillId="0" borderId="0" xfId="0" applyNumberFormat="1" applyFont="1"/>
    <xf numFmtId="187" fontId="75" fillId="2" borderId="0" xfId="0" applyNumberFormat="1" applyFont="1" applyFill="1"/>
    <xf numFmtId="170" fontId="39" fillId="2" borderId="0" xfId="0" applyNumberFormat="1" applyFont="1" applyFill="1" applyAlignment="1">
      <alignment horizontal="right"/>
    </xf>
    <xf numFmtId="0" fontId="30" fillId="0" borderId="0" xfId="0" applyFont="1" applyAlignment="1">
      <alignment horizontal="left" indent="1"/>
    </xf>
    <xf numFmtId="188" fontId="36" fillId="0" borderId="0" xfId="0" applyNumberFormat="1" applyFont="1"/>
    <xf numFmtId="188" fontId="36" fillId="2" borderId="0" xfId="0" applyNumberFormat="1" applyFont="1" applyFill="1"/>
    <xf numFmtId="187" fontId="36" fillId="0" borderId="0" xfId="0" applyNumberFormat="1" applyFont="1"/>
    <xf numFmtId="188" fontId="31" fillId="0" borderId="0" xfId="0" applyNumberFormat="1" applyFont="1"/>
    <xf numFmtId="189" fontId="31" fillId="5" borderId="0" xfId="0" applyNumberFormat="1" applyFont="1" applyFill="1"/>
    <xf numFmtId="184" fontId="31" fillId="5" borderId="0" xfId="0" applyNumberFormat="1" applyFont="1" applyFill="1"/>
    <xf numFmtId="190" fontId="31" fillId="5" borderId="0" xfId="0" applyNumberFormat="1" applyFont="1" applyFill="1" applyAlignment="1">
      <alignment horizontal="right"/>
    </xf>
    <xf numFmtId="191" fontId="31" fillId="5" borderId="0" xfId="0" applyNumberFormat="1" applyFont="1" applyFill="1" applyAlignment="1">
      <alignment horizontal="right"/>
    </xf>
    <xf numFmtId="9" fontId="36" fillId="0" borderId="0" xfId="4" applyFont="1" applyFill="1" applyBorder="1" applyAlignment="1">
      <alignment horizontal="right"/>
    </xf>
    <xf numFmtId="172" fontId="36" fillId="0" borderId="0" xfId="0" applyNumberFormat="1" applyFont="1"/>
    <xf numFmtId="172" fontId="39" fillId="5" borderId="0" xfId="0" applyNumberFormat="1" applyFont="1" applyFill="1"/>
    <xf numFmtId="172" fontId="31" fillId="5" borderId="0" xfId="0" applyNumberFormat="1" applyFont="1" applyFill="1"/>
    <xf numFmtId="172" fontId="39" fillId="2" borderId="0" xfId="0" applyNumberFormat="1" applyFont="1" applyFill="1"/>
    <xf numFmtId="172" fontId="31" fillId="2" borderId="0" xfId="0" applyNumberFormat="1" applyFont="1" applyFill="1"/>
    <xf numFmtId="172" fontId="39" fillId="5" borderId="0" xfId="0" applyNumberFormat="1" applyFont="1" applyFill="1" applyAlignment="1">
      <alignment horizontal="right"/>
    </xf>
    <xf numFmtId="172" fontId="39" fillId="0" borderId="0" xfId="0" applyNumberFormat="1" applyFont="1"/>
    <xf numFmtId="172" fontId="31" fillId="0" borderId="9" xfId="0" applyNumberFormat="1" applyFont="1" applyBorder="1"/>
    <xf numFmtId="188" fontId="39" fillId="2" borderId="0" xfId="0" applyNumberFormat="1" applyFont="1" applyFill="1"/>
    <xf numFmtId="9" fontId="36" fillId="2" borderId="0" xfId="4" applyFont="1" applyFill="1" applyBorder="1" applyAlignment="1">
      <alignment horizontal="right"/>
    </xf>
    <xf numFmtId="172" fontId="60" fillId="0" borderId="0" xfId="0" applyNumberFormat="1" applyFont="1" applyAlignment="1">
      <alignment horizontal="right"/>
    </xf>
    <xf numFmtId="172" fontId="60" fillId="0" borderId="0" xfId="0" applyNumberFormat="1" applyFont="1"/>
    <xf numFmtId="172" fontId="60" fillId="0" borderId="9" xfId="0" applyNumberFormat="1" applyFont="1" applyBorder="1"/>
    <xf numFmtId="172" fontId="39" fillId="0" borderId="10" xfId="0" applyNumberFormat="1" applyFont="1" applyBorder="1"/>
    <xf numFmtId="172" fontId="60" fillId="2" borderId="0" xfId="0" applyNumberFormat="1" applyFont="1" applyFill="1"/>
    <xf numFmtId="172" fontId="64" fillId="0" borderId="0" xfId="0" applyNumberFormat="1" applyFont="1"/>
    <xf numFmtId="172" fontId="15" fillId="2" borderId="0" xfId="0" applyNumberFormat="1" applyFont="1" applyFill="1"/>
    <xf numFmtId="172" fontId="15" fillId="5" borderId="0" xfId="0" applyNumberFormat="1" applyFont="1" applyFill="1" applyAlignment="1">
      <alignment horizontal="right"/>
    </xf>
    <xf numFmtId="172" fontId="15" fillId="5" borderId="0" xfId="0" applyNumberFormat="1" applyFont="1" applyFill="1"/>
    <xf numFmtId="172" fontId="30" fillId="2" borderId="0" xfId="0" applyNumberFormat="1" applyFont="1" applyFill="1" applyAlignment="1">
      <alignment vertical="center"/>
    </xf>
    <xf numFmtId="172" fontId="31" fillId="2" borderId="10" xfId="0" applyNumberFormat="1" applyFont="1" applyFill="1" applyBorder="1"/>
    <xf numFmtId="0" fontId="26" fillId="0" borderId="9" xfId="0" applyFont="1" applyBorder="1"/>
    <xf numFmtId="166" fontId="30" fillId="2" borderId="9" xfId="0" applyNumberFormat="1" applyFont="1" applyFill="1" applyBorder="1" applyAlignment="1">
      <alignment horizontal="center"/>
    </xf>
    <xf numFmtId="0" fontId="40" fillId="0" borderId="0" xfId="0" applyFont="1"/>
    <xf numFmtId="37" fontId="76" fillId="4" borderId="0" xfId="0" applyNumberFormat="1" applyFont="1" applyFill="1" applyAlignment="1">
      <alignment vertical="center"/>
    </xf>
    <xf numFmtId="0" fontId="41" fillId="0" borderId="0" xfId="1" applyFont="1" applyAlignment="1">
      <alignment horizontal="centerContinuous" vertical="center"/>
    </xf>
    <xf numFmtId="0" fontId="26" fillId="0" borderId="0" xfId="0" applyFont="1" applyAlignment="1">
      <alignment horizontal="centerContinuous"/>
    </xf>
    <xf numFmtId="0" fontId="26" fillId="0" borderId="0" xfId="0" applyFont="1" applyAlignment="1">
      <alignment horizontal="right"/>
    </xf>
    <xf numFmtId="0" fontId="39" fillId="0" borderId="0" xfId="1" applyFont="1" applyAlignment="1">
      <alignment horizontal="center" vertical="center"/>
    </xf>
    <xf numFmtId="0" fontId="41" fillId="0" borderId="0" xfId="1" applyFont="1" applyAlignment="1">
      <alignment horizontal="right" vertical="center"/>
    </xf>
    <xf numFmtId="0" fontId="30" fillId="0" borderId="0" xfId="7" applyFont="1" applyAlignment="1">
      <alignment horizontal="centerContinuous"/>
    </xf>
    <xf numFmtId="0" fontId="41" fillId="0" borderId="0" xfId="7" applyFont="1" applyAlignment="1">
      <alignment horizontal="centerContinuous"/>
    </xf>
    <xf numFmtId="192" fontId="41" fillId="0" borderId="0" xfId="7" applyNumberFormat="1" applyFont="1" applyAlignment="1">
      <alignment horizontal="centerContinuous"/>
    </xf>
    <xf numFmtId="0" fontId="30" fillId="0" borderId="9" xfId="7" applyFont="1" applyBorder="1" applyAlignment="1">
      <alignment horizontal="left"/>
    </xf>
    <xf numFmtId="0" fontId="30" fillId="0" borderId="9" xfId="7" applyFont="1" applyBorder="1" applyAlignment="1">
      <alignment horizontal="right"/>
    </xf>
    <xf numFmtId="167" fontId="30" fillId="0" borderId="9" xfId="7" applyNumberFormat="1" applyFont="1" applyBorder="1" applyAlignment="1">
      <alignment horizontal="right"/>
    </xf>
    <xf numFmtId="168" fontId="30" fillId="0" borderId="9" xfId="7" applyNumberFormat="1" applyFont="1" applyBorder="1" applyAlignment="1">
      <alignment horizontal="right"/>
    </xf>
    <xf numFmtId="0" fontId="15" fillId="0" borderId="0" xfId="1" applyFont="1" applyAlignment="1">
      <alignment horizontal="center"/>
    </xf>
    <xf numFmtId="0" fontId="65" fillId="0" borderId="0" xfId="1" applyFont="1" applyAlignment="1">
      <alignment horizontal="center" vertical="center"/>
    </xf>
    <xf numFmtId="182" fontId="36" fillId="2" borderId="0" xfId="0" applyNumberFormat="1" applyFont="1" applyFill="1"/>
    <xf numFmtId="179" fontId="36" fillId="2" borderId="0" xfId="0" applyNumberFormat="1" applyFont="1" applyFill="1"/>
    <xf numFmtId="179" fontId="31" fillId="5" borderId="49" xfId="0" applyNumberFormat="1" applyFont="1" applyFill="1" applyBorder="1"/>
    <xf numFmtId="183" fontId="36" fillId="2" borderId="0" xfId="0" applyNumberFormat="1" applyFont="1" applyFill="1"/>
    <xf numFmtId="191" fontId="31" fillId="5" borderId="41" xfId="0" applyNumberFormat="1" applyFont="1" applyFill="1" applyBorder="1" applyAlignment="1">
      <alignment horizontal="right"/>
    </xf>
    <xf numFmtId="191" fontId="31" fillId="5" borderId="42" xfId="0" applyNumberFormat="1" applyFont="1" applyFill="1" applyBorder="1" applyAlignment="1">
      <alignment horizontal="right"/>
    </xf>
    <xf numFmtId="182" fontId="36" fillId="0" borderId="0" xfId="0" applyNumberFormat="1" applyFont="1"/>
    <xf numFmtId="179" fontId="31" fillId="5" borderId="50" xfId="0" applyNumberFormat="1" applyFont="1" applyFill="1" applyBorder="1"/>
    <xf numFmtId="191" fontId="31" fillId="5" borderId="44" xfId="0" applyNumberFormat="1" applyFont="1" applyFill="1" applyBorder="1" applyAlignment="1">
      <alignment horizontal="right"/>
    </xf>
    <xf numFmtId="179" fontId="31" fillId="5" borderId="51" xfId="0" applyNumberFormat="1" applyFont="1" applyFill="1" applyBorder="1"/>
    <xf numFmtId="191" fontId="31" fillId="5" borderId="46" xfId="0" applyNumberFormat="1" applyFont="1" applyFill="1" applyBorder="1" applyAlignment="1">
      <alignment horizontal="right"/>
    </xf>
    <xf numFmtId="191" fontId="31" fillId="5" borderId="47" xfId="0" applyNumberFormat="1" applyFont="1" applyFill="1" applyBorder="1" applyAlignment="1">
      <alignment horizontal="right"/>
    </xf>
    <xf numFmtId="0" fontId="39" fillId="0" borderId="0" xfId="1" applyFont="1" applyAlignment="1">
      <alignment horizontal="left" vertical="center" indent="1"/>
    </xf>
    <xf numFmtId="0" fontId="39" fillId="2" borderId="0" xfId="0" applyFont="1" applyFill="1"/>
    <xf numFmtId="191" fontId="39" fillId="5" borderId="41" xfId="0" applyNumberFormat="1" applyFont="1" applyFill="1" applyBorder="1" applyAlignment="1">
      <alignment horizontal="right"/>
    </xf>
    <xf numFmtId="191" fontId="39" fillId="5" borderId="42" xfId="0" applyNumberFormat="1" applyFont="1" applyFill="1" applyBorder="1" applyAlignment="1">
      <alignment horizontal="right"/>
    </xf>
    <xf numFmtId="176" fontId="39" fillId="5" borderId="42" xfId="0" applyNumberFormat="1" applyFont="1" applyFill="1" applyBorder="1" applyAlignment="1">
      <alignment horizontal="right"/>
    </xf>
    <xf numFmtId="176" fontId="39" fillId="5" borderId="43" xfId="0" applyNumberFormat="1" applyFont="1" applyFill="1" applyBorder="1" applyAlignment="1">
      <alignment horizontal="right"/>
    </xf>
    <xf numFmtId="191" fontId="39" fillId="5" borderId="44" xfId="0" applyNumberFormat="1" applyFont="1" applyFill="1" applyBorder="1" applyAlignment="1">
      <alignment horizontal="right"/>
    </xf>
    <xf numFmtId="191" fontId="39" fillId="5" borderId="0" xfId="0" applyNumberFormat="1" applyFont="1" applyFill="1" applyAlignment="1">
      <alignment horizontal="right"/>
    </xf>
    <xf numFmtId="176" fontId="39" fillId="5" borderId="0" xfId="0" applyNumberFormat="1" applyFont="1" applyFill="1" applyAlignment="1">
      <alignment horizontal="right"/>
    </xf>
    <xf numFmtId="176" fontId="39" fillId="5" borderId="45" xfId="0" applyNumberFormat="1" applyFont="1" applyFill="1" applyBorder="1" applyAlignment="1">
      <alignment horizontal="right"/>
    </xf>
    <xf numFmtId="37" fontId="41" fillId="0" borderId="0" xfId="1" applyNumberFormat="1" applyFont="1" applyAlignment="1">
      <alignment horizontal="left" vertical="center"/>
    </xf>
    <xf numFmtId="37" fontId="39" fillId="0" borderId="0" xfId="1" applyNumberFormat="1" applyFont="1" applyAlignment="1">
      <alignment horizontal="left" vertical="center" indent="1"/>
    </xf>
    <xf numFmtId="182" fontId="31" fillId="5" borderId="49" xfId="0" applyNumberFormat="1" applyFont="1" applyFill="1" applyBorder="1"/>
    <xf numFmtId="193" fontId="49" fillId="2" borderId="0" xfId="0" applyNumberFormat="1" applyFont="1" applyFill="1"/>
    <xf numFmtId="179" fontId="49" fillId="2" borderId="0" xfId="0" applyNumberFormat="1" applyFont="1" applyFill="1"/>
    <xf numFmtId="191" fontId="31" fillId="2" borderId="0" xfId="0" applyNumberFormat="1" applyFont="1" applyFill="1"/>
    <xf numFmtId="182" fontId="31" fillId="5" borderId="50" xfId="0" applyNumberFormat="1" applyFont="1" applyFill="1" applyBorder="1"/>
    <xf numFmtId="193" fontId="31" fillId="2" borderId="0" xfId="0" applyNumberFormat="1" applyFont="1" applyFill="1"/>
    <xf numFmtId="179" fontId="31" fillId="2" borderId="0" xfId="0" applyNumberFormat="1" applyFont="1" applyFill="1"/>
    <xf numFmtId="182" fontId="31" fillId="5" borderId="51" xfId="0" applyNumberFormat="1" applyFont="1" applyFill="1" applyBorder="1"/>
    <xf numFmtId="0" fontId="65" fillId="0" borderId="0" xfId="1" applyFont="1" applyAlignment="1">
      <alignment horizontal="right"/>
    </xf>
    <xf numFmtId="0" fontId="65" fillId="0" borderId="0" xfId="1" applyFont="1" applyAlignment="1">
      <alignment horizontal="right" vertical="center"/>
    </xf>
    <xf numFmtId="176" fontId="15" fillId="2" borderId="42" xfId="0" applyNumberFormat="1" applyFont="1" applyFill="1" applyBorder="1" applyAlignment="1">
      <alignment horizontal="right"/>
    </xf>
    <xf numFmtId="176" fontId="15" fillId="2" borderId="43" xfId="0" applyNumberFormat="1" applyFont="1" applyFill="1" applyBorder="1" applyAlignment="1">
      <alignment horizontal="right"/>
    </xf>
    <xf numFmtId="176" fontId="15" fillId="2" borderId="0" xfId="0" applyNumberFormat="1" applyFont="1" applyFill="1" applyAlignment="1">
      <alignment horizontal="right"/>
    </xf>
    <xf numFmtId="176" fontId="15" fillId="2" borderId="45" xfId="0" applyNumberFormat="1" applyFont="1" applyFill="1" applyBorder="1" applyAlignment="1">
      <alignment horizontal="right"/>
    </xf>
    <xf numFmtId="176" fontId="15" fillId="2" borderId="47" xfId="0" applyNumberFormat="1" applyFont="1" applyFill="1" applyBorder="1" applyAlignment="1">
      <alignment horizontal="right"/>
    </xf>
    <xf numFmtId="176" fontId="15" fillId="2" borderId="48" xfId="0" applyNumberFormat="1" applyFont="1" applyFill="1" applyBorder="1" applyAlignment="1">
      <alignment horizontal="right"/>
    </xf>
    <xf numFmtId="191" fontId="31" fillId="2" borderId="46" xfId="0" applyNumberFormat="1" applyFont="1" applyFill="1" applyBorder="1"/>
    <xf numFmtId="191" fontId="31" fillId="2" borderId="47" xfId="0" applyNumberFormat="1" applyFont="1" applyFill="1" applyBorder="1"/>
    <xf numFmtId="176" fontId="31" fillId="2" borderId="47" xfId="0" applyNumberFormat="1" applyFont="1" applyFill="1" applyBorder="1"/>
    <xf numFmtId="176" fontId="31" fillId="2" borderId="48" xfId="0" applyNumberFormat="1" applyFont="1" applyFill="1" applyBorder="1"/>
    <xf numFmtId="176" fontId="31" fillId="0" borderId="0" xfId="0" applyNumberFormat="1" applyFont="1"/>
    <xf numFmtId="176" fontId="31" fillId="2" borderId="0" xfId="0" applyNumberFormat="1" applyFont="1" applyFill="1"/>
    <xf numFmtId="0" fontId="31" fillId="2" borderId="0" xfId="0" applyFont="1" applyFill="1" applyAlignment="1">
      <alignment horizontal="left" indent="1"/>
    </xf>
    <xf numFmtId="37" fontId="41" fillId="2" borderId="0" xfId="1" applyNumberFormat="1" applyFont="1" applyFill="1" applyAlignment="1">
      <alignment horizontal="left" vertical="center"/>
    </xf>
    <xf numFmtId="0" fontId="26" fillId="2" borderId="0" xfId="0" applyFont="1" applyFill="1"/>
    <xf numFmtId="191" fontId="31" fillId="5" borderId="0" xfId="0" applyNumberFormat="1" applyFont="1" applyFill="1"/>
    <xf numFmtId="176" fontId="49" fillId="2" borderId="0" xfId="0" applyNumberFormat="1" applyFont="1" applyFill="1"/>
    <xf numFmtId="0" fontId="48" fillId="0" borderId="0" xfId="0" applyFont="1" applyAlignment="1">
      <alignment horizontal="left" vertical="center" indent="1"/>
    </xf>
    <xf numFmtId="182" fontId="49" fillId="0" borderId="0" xfId="0" applyNumberFormat="1" applyFont="1" applyAlignment="1">
      <alignment horizontal="left" indent="2"/>
    </xf>
    <xf numFmtId="182" fontId="36" fillId="0" borderId="0" xfId="0" applyNumberFormat="1" applyFont="1" applyAlignment="1">
      <alignment horizontal="left" indent="2"/>
    </xf>
    <xf numFmtId="191" fontId="31" fillId="0" borderId="39" xfId="0" applyNumberFormat="1" applyFont="1" applyBorder="1"/>
    <xf numFmtId="191" fontId="69" fillId="0" borderId="39" xfId="0" applyNumberFormat="1" applyFont="1" applyBorder="1"/>
    <xf numFmtId="37" fontId="78" fillId="4" borderId="0" xfId="0" applyNumberFormat="1" applyFont="1" applyFill="1" applyAlignment="1">
      <alignment vertical="center"/>
    </xf>
    <xf numFmtId="37" fontId="21" fillId="4" borderId="0" xfId="0" applyNumberFormat="1" applyFont="1" applyFill="1" applyAlignment="1">
      <alignment vertical="center"/>
    </xf>
    <xf numFmtId="0" fontId="2" fillId="0" borderId="0" xfId="0" applyFont="1"/>
    <xf numFmtId="182" fontId="31" fillId="0" borderId="16" xfId="4" applyNumberFormat="1" applyFont="1" applyBorder="1" applyAlignment="1">
      <alignment horizontal="left" indent="2"/>
    </xf>
    <xf numFmtId="0" fontId="31" fillId="0" borderId="9" xfId="0" applyFont="1" applyBorder="1" applyAlignment="1">
      <alignment horizontal="right"/>
    </xf>
    <xf numFmtId="182" fontId="31" fillId="2" borderId="0" xfId="4" applyNumberFormat="1" applyFont="1" applyFill="1" applyBorder="1" applyAlignment="1">
      <alignment horizontal="left" indent="2"/>
    </xf>
    <xf numFmtId="0" fontId="41" fillId="0" borderId="0" xfId="1" applyFont="1" applyAlignment="1">
      <alignment horizontal="center" vertical="center"/>
    </xf>
    <xf numFmtId="0" fontId="30" fillId="0" borderId="0" xfId="7" applyFont="1" applyAlignment="1">
      <alignment horizontal="center"/>
    </xf>
    <xf numFmtId="0" fontId="26" fillId="0" borderId="0" xfId="0" applyFont="1" applyAlignment="1">
      <alignment horizontal="center"/>
    </xf>
    <xf numFmtId="0" fontId="26" fillId="0" borderId="52" xfId="0" applyFont="1" applyBorder="1"/>
    <xf numFmtId="0" fontId="79" fillId="0" borderId="0" xfId="0" applyFont="1" applyAlignment="1">
      <alignment horizontal="center" vertical="center"/>
    </xf>
    <xf numFmtId="182" fontId="17" fillId="0" borderId="0" xfId="0" applyNumberFormat="1" applyFont="1" applyAlignment="1">
      <alignment horizontal="left" indent="2"/>
    </xf>
    <xf numFmtId="9" fontId="17" fillId="0" borderId="0" xfId="4" applyFont="1" applyAlignment="1"/>
    <xf numFmtId="9" fontId="15" fillId="0" borderId="0" xfId="4" applyFont="1" applyBorder="1"/>
    <xf numFmtId="0" fontId="1" fillId="0" borderId="0" xfId="0" applyFont="1"/>
    <xf numFmtId="176" fontId="69" fillId="0" borderId="0" xfId="0" applyNumberFormat="1" applyFont="1"/>
    <xf numFmtId="170" fontId="66" fillId="0" borderId="14" xfId="0" applyNumberFormat="1" applyFont="1" applyBorder="1" applyAlignment="1">
      <alignment horizontal="center"/>
    </xf>
    <xf numFmtId="166" fontId="66" fillId="0" borderId="14" xfId="0" applyNumberFormat="1" applyFont="1" applyBorder="1" applyAlignment="1">
      <alignment horizontal="center"/>
    </xf>
    <xf numFmtId="166" fontId="66" fillId="0" borderId="15" xfId="0" applyNumberFormat="1" applyFont="1" applyBorder="1" applyAlignment="1">
      <alignment horizontal="center"/>
    </xf>
    <xf numFmtId="0" fontId="41" fillId="0" borderId="0" xfId="0" applyFont="1" applyAlignment="1">
      <alignment horizontal="center" vertical="center"/>
    </xf>
    <xf numFmtId="0" fontId="39" fillId="0" borderId="0" xfId="0" applyFont="1" applyAlignment="1">
      <alignment horizontal="center"/>
    </xf>
    <xf numFmtId="170" fontId="69" fillId="0" borderId="0" xfId="0" applyNumberFormat="1" applyFont="1"/>
    <xf numFmtId="194" fontId="31" fillId="0" borderId="0" xfId="0" applyNumberFormat="1" applyFont="1" applyAlignment="1">
      <alignment horizontal="left" indent="3"/>
    </xf>
    <xf numFmtId="194" fontId="31" fillId="0" borderId="0" xfId="0" applyNumberFormat="1" applyFont="1"/>
    <xf numFmtId="194" fontId="69" fillId="0" borderId="0" xfId="0" applyNumberFormat="1" applyFont="1"/>
    <xf numFmtId="0" fontId="30" fillId="0" borderId="18" xfId="0" applyFont="1" applyBorder="1" applyAlignment="1">
      <alignment horizontal="left"/>
    </xf>
    <xf numFmtId="0" fontId="31" fillId="0" borderId="19" xfId="0" applyFont="1" applyBorder="1"/>
    <xf numFmtId="182" fontId="49" fillId="0" borderId="23" xfId="0" applyNumberFormat="1" applyFont="1" applyBorder="1" applyAlignment="1">
      <alignment horizontal="left" indent="2"/>
    </xf>
    <xf numFmtId="0" fontId="31" fillId="0" borderId="0" xfId="0" applyFont="1" applyAlignment="1">
      <alignment horizontal="center" vertical="center" textRotation="90"/>
    </xf>
    <xf numFmtId="170" fontId="31" fillId="0" borderId="9" xfId="0" applyNumberFormat="1" applyFont="1" applyBorder="1" applyAlignment="1">
      <alignment horizontal="right"/>
    </xf>
    <xf numFmtId="182" fontId="31" fillId="5" borderId="53" xfId="0" applyNumberFormat="1" applyFont="1" applyFill="1" applyBorder="1" applyAlignment="1">
      <alignment horizontal="left" indent="2"/>
    </xf>
    <xf numFmtId="0" fontId="70" fillId="2" borderId="0" xfId="0" applyFont="1" applyFill="1" applyAlignment="1">
      <alignment horizontal="center"/>
    </xf>
    <xf numFmtId="179" fontId="39" fillId="5" borderId="0" xfId="0" applyNumberFormat="1" applyFont="1" applyFill="1"/>
    <xf numFmtId="195" fontId="39" fillId="5" borderId="0" xfId="0" applyNumberFormat="1" applyFont="1" applyFill="1"/>
    <xf numFmtId="194" fontId="31" fillId="5" borderId="30" xfId="0" applyNumberFormat="1" applyFont="1" applyFill="1" applyBorder="1"/>
    <xf numFmtId="194" fontId="31" fillId="5" borderId="35" xfId="0" applyNumberFormat="1" applyFont="1" applyFill="1" applyBorder="1"/>
    <xf numFmtId="194" fontId="31" fillId="5" borderId="36" xfId="0" applyNumberFormat="1" applyFont="1" applyFill="1" applyBorder="1"/>
    <xf numFmtId="9" fontId="3" fillId="0" borderId="0" xfId="4" applyFont="1"/>
    <xf numFmtId="170" fontId="60" fillId="0" borderId="9" xfId="0" applyNumberFormat="1" applyFont="1" applyBorder="1" applyAlignment="1">
      <alignment horizontal="right"/>
    </xf>
    <xf numFmtId="170" fontId="31" fillId="0" borderId="9" xfId="0" applyNumberFormat="1" applyFont="1" applyBorder="1" applyAlignment="1">
      <alignment horizontal="center"/>
    </xf>
    <xf numFmtId="170" fontId="69" fillId="0" borderId="27" xfId="0" applyNumberFormat="1" applyFont="1" applyBorder="1"/>
    <xf numFmtId="170" fontId="31" fillId="2" borderId="9" xfId="0" applyNumberFormat="1" applyFont="1" applyFill="1" applyBorder="1"/>
    <xf numFmtId="176" fontId="60" fillId="5" borderId="0" xfId="0" applyNumberFormat="1" applyFont="1" applyFill="1" applyAlignment="1">
      <alignment horizontal="right"/>
    </xf>
    <xf numFmtId="9" fontId="4" fillId="0" borderId="0" xfId="0" applyNumberFormat="1" applyFont="1"/>
    <xf numFmtId="9" fontId="69" fillId="2" borderId="0" xfId="4" applyFont="1" applyFill="1"/>
    <xf numFmtId="9" fontId="80" fillId="0" borderId="0" xfId="0" applyNumberFormat="1" applyFont="1"/>
    <xf numFmtId="176" fontId="36" fillId="2" borderId="0" xfId="0" applyNumberFormat="1" applyFont="1" applyFill="1" applyAlignment="1">
      <alignment horizontal="right"/>
    </xf>
    <xf numFmtId="170" fontId="69" fillId="0" borderId="9" xfId="0" applyNumberFormat="1" applyFont="1" applyBorder="1"/>
    <xf numFmtId="170" fontId="81" fillId="0" borderId="0" xfId="0" applyNumberFormat="1" applyFont="1"/>
    <xf numFmtId="0" fontId="79" fillId="0" borderId="0" xfId="0" applyFont="1"/>
    <xf numFmtId="0" fontId="22" fillId="0" borderId="4" xfId="1" applyFont="1" applyBorder="1" applyAlignment="1" applyProtection="1">
      <alignment horizontal="center" vertical="center"/>
      <protection locked="0"/>
    </xf>
    <xf numFmtId="0" fontId="20" fillId="0" borderId="0" xfId="1" applyFont="1" applyAlignment="1" applyProtection="1">
      <alignment horizontal="center" vertical="center"/>
      <protection locked="0"/>
    </xf>
    <xf numFmtId="0" fontId="20" fillId="0" borderId="5" xfId="1" applyFont="1" applyBorder="1" applyAlignment="1" applyProtection="1">
      <alignment horizontal="center" vertical="center"/>
      <protection locked="0"/>
    </xf>
    <xf numFmtId="0" fontId="20" fillId="0" borderId="4" xfId="1" applyFont="1" applyBorder="1" applyAlignment="1" applyProtection="1">
      <alignment horizontal="center" vertical="center"/>
      <protection locked="0"/>
    </xf>
    <xf numFmtId="164" fontId="13" fillId="0" borderId="0" xfId="1" applyNumberFormat="1" applyFont="1" applyAlignment="1">
      <alignment horizontal="center" vertical="center"/>
    </xf>
    <xf numFmtId="0" fontId="43" fillId="3" borderId="1" xfId="1" applyFont="1" applyFill="1" applyBorder="1" applyAlignment="1">
      <alignment horizontal="center" vertical="center"/>
    </xf>
    <xf numFmtId="0" fontId="43" fillId="3" borderId="2" xfId="1" applyFont="1" applyFill="1" applyBorder="1" applyAlignment="1">
      <alignment horizontal="center" vertical="center"/>
    </xf>
    <xf numFmtId="0" fontId="43" fillId="3" borderId="3" xfId="1" applyFont="1" applyFill="1" applyBorder="1" applyAlignment="1">
      <alignment horizontal="center" vertical="center"/>
    </xf>
    <xf numFmtId="0" fontId="43" fillId="3" borderId="4" xfId="1" applyFont="1" applyFill="1" applyBorder="1" applyAlignment="1">
      <alignment horizontal="center" vertical="center"/>
    </xf>
    <xf numFmtId="0" fontId="43" fillId="3" borderId="0" xfId="1" applyFont="1" applyFill="1" applyAlignment="1">
      <alignment horizontal="center" vertical="center"/>
    </xf>
    <xf numFmtId="0" fontId="43" fillId="3" borderId="5" xfId="1" applyFont="1" applyFill="1" applyBorder="1" applyAlignment="1">
      <alignment horizontal="center" vertical="center"/>
    </xf>
    <xf numFmtId="0" fontId="41" fillId="2" borderId="32" xfId="0" applyFont="1" applyFill="1" applyBorder="1" applyAlignment="1">
      <alignment horizontal="center"/>
    </xf>
    <xf numFmtId="0" fontId="31" fillId="0" borderId="0" xfId="0" applyFont="1" applyAlignment="1">
      <alignment horizontal="center" vertical="center" textRotation="90"/>
    </xf>
    <xf numFmtId="0" fontId="31" fillId="0" borderId="0" xfId="0" applyFont="1" applyAlignment="1">
      <alignment horizontal="center"/>
    </xf>
    <xf numFmtId="0" fontId="41" fillId="0" borderId="9" xfId="0" applyFont="1" applyBorder="1" applyAlignment="1">
      <alignment horizontal="center" vertical="center"/>
    </xf>
    <xf numFmtId="0" fontId="31" fillId="0" borderId="0" xfId="0" applyFont="1" applyAlignment="1">
      <alignment horizontal="right" vertical="center" textRotation="90"/>
    </xf>
  </cellXfs>
  <cellStyles count="8">
    <cellStyle name="Comma" xfId="5" builtinId="3"/>
    <cellStyle name="Comma 2" xfId="6" xr:uid="{AAA9FAB6-D1E9-4C24-97C2-14A8B2870FE4}"/>
    <cellStyle name="Hyperlink" xfId="2" builtinId="8"/>
    <cellStyle name="Hyperlink 2 2" xfId="3" xr:uid="{F4E1AD28-9EDA-4A91-AAB5-A0B51BF6CA55}"/>
    <cellStyle name="Normal" xfId="0" builtinId="0"/>
    <cellStyle name="Normal 2 2 2" xfId="1" xr:uid="{2ABB6659-8071-431B-AEF3-F0EECA32A1B9}"/>
    <cellStyle name="Normal_Master Junior Database v2" xfId="7" xr:uid="{A180BACA-0B5C-4CC8-AB19-D1BF9CC02928}"/>
    <cellStyle name="Percent" xfId="4" builtinId="5"/>
  </cellStyles>
  <dxfs count="7"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fgColor auto="1"/>
          <bgColor rgb="FF947131"/>
        </patternFill>
      </fill>
    </dxf>
    <dxf>
      <font>
        <color rgb="FFC00000"/>
      </font>
    </dxf>
    <dxf>
      <font>
        <color rgb="FFFF3300"/>
      </font>
    </dxf>
    <dxf>
      <font>
        <color theme="1"/>
      </font>
    </dxf>
    <dxf>
      <font>
        <color rgb="FF7DC844"/>
      </font>
    </dxf>
    <dxf>
      <font>
        <color rgb="FF00B050"/>
      </font>
    </dxf>
  </dxfs>
  <tableStyles count="0" defaultTableStyle="TableStyleMedium2" defaultPivotStyle="PivotStyleLight16"/>
  <colors>
    <mruColors>
      <color rgb="FF7DC844"/>
      <color rgb="FFFF3300"/>
      <color rgb="FFD14A0D"/>
      <color rgb="FFFC5442"/>
      <color rgb="FFE71903"/>
      <color rgb="FFFF6600"/>
      <color rgb="FFFF6969"/>
      <color rgb="FFFF0000"/>
      <color rgb="FF1F4E79"/>
      <color rgb="FF2F7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546234393656769E-2"/>
          <c:y val="6.2217625925366317E-2"/>
          <c:w val="0.92288702905847464"/>
          <c:h val="0.85211341429808551"/>
        </c:manualLayout>
      </c:layout>
      <c:barChart>
        <c:barDir val="col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dLbls>
            <c:numFmt formatCode="_-[$£-809]* #,##0.00_-;\-[$£-809]* #,##0.00_-;_-[$£-809]* &quot;-&quot;??_-;_-@_-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'Valuation Summary'!$D$42:$D$48</c:f>
              <c:strCache>
                <c:ptCount val="7"/>
                <c:pt idx="0">
                  <c:v>DDM - Perpetuity Growth</c:v>
                </c:pt>
                <c:pt idx="1">
                  <c:v>DDM - Terminal Multiple</c:v>
                </c:pt>
                <c:pt idx="2">
                  <c:v>Residual Income</c:v>
                </c:pt>
                <c:pt idx="3">
                  <c:v>Net Asset Value</c:v>
                </c:pt>
                <c:pt idx="4">
                  <c:v>Comparable Companies</c:v>
                </c:pt>
                <c:pt idx="5">
                  <c:v>Regression</c:v>
                </c:pt>
                <c:pt idx="6">
                  <c:v>52 Week High/Low</c:v>
                </c:pt>
              </c:strCache>
            </c:strRef>
          </c:cat>
          <c:val>
            <c:numRef>
              <c:f>'Valuation Summary'!$E$42:$E$48</c:f>
              <c:numCache>
                <c:formatCode>_-[$£-809]* #,##0.00_-;\-[$£-809]* #,##0.00_-;_-[$£-809]* "-"??_-;_-@_-</c:formatCode>
                <c:ptCount val="7"/>
                <c:pt idx="0">
                  <c:v>0.71805240968403572</c:v>
                </c:pt>
                <c:pt idx="1">
                  <c:v>0.68608514756663885</c:v>
                </c:pt>
                <c:pt idx="2">
                  <c:v>1.0084590483990779</c:v>
                </c:pt>
                <c:pt idx="3">
                  <c:v>0.65160036735318549</c:v>
                </c:pt>
                <c:pt idx="4">
                  <c:v>0.44571224646373597</c:v>
                </c:pt>
                <c:pt idx="5">
                  <c:v>0.54176180801127582</c:v>
                </c:pt>
                <c:pt idx="6">
                  <c:v>0.60780000000000001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8F-406F-A4F8-03F09863751F}"/>
            </c:ext>
          </c:extLst>
        </c:ser>
        <c:ser>
          <c:idx val="1"/>
          <c:order val="1"/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'Valuation Summary'!$D$42:$D$48</c:f>
              <c:strCache>
                <c:ptCount val="7"/>
                <c:pt idx="0">
                  <c:v>DDM - Perpetuity Growth</c:v>
                </c:pt>
                <c:pt idx="1">
                  <c:v>DDM - Terminal Multiple</c:v>
                </c:pt>
                <c:pt idx="2">
                  <c:v>Residual Income</c:v>
                </c:pt>
                <c:pt idx="3">
                  <c:v>Net Asset Value</c:v>
                </c:pt>
                <c:pt idx="4">
                  <c:v>Comparable Companies</c:v>
                </c:pt>
                <c:pt idx="5">
                  <c:v>Regression</c:v>
                </c:pt>
                <c:pt idx="6">
                  <c:v>52 Week High/Low</c:v>
                </c:pt>
              </c:strCache>
            </c:strRef>
          </c:cat>
          <c:val>
            <c:numRef>
              <c:f>'Valuation Summary'!$F$42:$F$48</c:f>
              <c:numCache>
                <c:formatCode>_-[$£-809]* #,##0.00_-;\-[$£-809]* #,##0.00_-;_-[$£-809]* "-"??_-;_-@_-</c:formatCode>
                <c:ptCount val="7"/>
                <c:pt idx="0">
                  <c:v>0.40668808259421807</c:v>
                </c:pt>
                <c:pt idx="1">
                  <c:v>0.26629125852689828</c:v>
                </c:pt>
                <c:pt idx="2">
                  <c:v>0.10680207260048591</c:v>
                </c:pt>
                <c:pt idx="3">
                  <c:v>0.51302573173012977</c:v>
                </c:pt>
                <c:pt idx="4">
                  <c:v>0.14901082063223259</c:v>
                </c:pt>
                <c:pt idx="5">
                  <c:v>0.23053693957926646</c:v>
                </c:pt>
                <c:pt idx="6">
                  <c:v>0.5381999999999999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8F-406F-A4F8-03F09863751F}"/>
            </c:ext>
          </c:extLst>
        </c:ser>
        <c:ser>
          <c:idx val="2"/>
          <c:order val="2"/>
          <c:spPr>
            <a:noFill/>
            <a:ln>
              <a:noFill/>
            </a:ln>
            <a:effectLst/>
          </c:spPr>
          <c:invertIfNegative val="0"/>
          <c:dLbls>
            <c:numFmt formatCode="_-[$£-809]* #,##0.00_-;\-[$£-809]* #,##0.00_-;_-[$£-809]* &quot;-&quot;??_-;_-@_-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'Valuation Summary'!$D$42:$D$48</c:f>
              <c:strCache>
                <c:ptCount val="7"/>
                <c:pt idx="0">
                  <c:v>DDM - Perpetuity Growth</c:v>
                </c:pt>
                <c:pt idx="1">
                  <c:v>DDM - Terminal Multiple</c:v>
                </c:pt>
                <c:pt idx="2">
                  <c:v>Residual Income</c:v>
                </c:pt>
                <c:pt idx="3">
                  <c:v>Net Asset Value</c:v>
                </c:pt>
                <c:pt idx="4">
                  <c:v>Comparable Companies</c:v>
                </c:pt>
                <c:pt idx="5">
                  <c:v>Regression</c:v>
                </c:pt>
                <c:pt idx="6">
                  <c:v>52 Week High/Low</c:v>
                </c:pt>
              </c:strCache>
            </c:strRef>
          </c:cat>
          <c:val>
            <c:numRef>
              <c:f>'Valuation Summary'!$G$42:$G$48</c:f>
              <c:numCache>
                <c:formatCode>_-[$£-809]* #,##0.00_-;\-[$£-809]* #,##0.00_-;_-[$£-809]* "-"??_-;_-@_-</c:formatCode>
                <c:ptCount val="7"/>
                <c:pt idx="0">
                  <c:v>1.1247404922782538</c:v>
                </c:pt>
                <c:pt idx="1">
                  <c:v>0.95237640609353713</c:v>
                </c:pt>
                <c:pt idx="2">
                  <c:v>1.1152611209995638</c:v>
                </c:pt>
                <c:pt idx="3">
                  <c:v>1.1646260990833153</c:v>
                </c:pt>
                <c:pt idx="4">
                  <c:v>0.59472306709596856</c:v>
                </c:pt>
                <c:pt idx="5">
                  <c:v>0.77229874759054229</c:v>
                </c:pt>
                <c:pt idx="6">
                  <c:v>1.1459999999999999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8F-406F-A4F8-03F0986375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81352351"/>
        <c:axId val="981360255"/>
      </c:barChart>
      <c:catAx>
        <c:axId val="9813523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981360255"/>
        <c:crossesAt val="-5"/>
        <c:auto val="1"/>
        <c:lblAlgn val="ctr"/>
        <c:lblOffset val="100"/>
        <c:noMultiLvlLbl val="0"/>
      </c:catAx>
      <c:valAx>
        <c:axId val="981360255"/>
        <c:scaling>
          <c:orientation val="minMax"/>
          <c:max val="1.4"/>
          <c:min val="0.30000000000000004"/>
        </c:scaling>
        <c:delete val="0"/>
        <c:axPos val="l"/>
        <c:numFmt formatCode="_-[$£-809]* #,##0.00_-;\-[$£-809]* #,##0.00_-;_-[$£-809]* &quot;-&quot;??_-;_-@_-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981352351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7327</xdr:colOff>
      <xdr:row>1</xdr:row>
      <xdr:rowOff>227135</xdr:rowOff>
    </xdr:from>
    <xdr:to>
      <xdr:col>15</xdr:col>
      <xdr:colOff>0</xdr:colOff>
      <xdr:row>36</xdr:row>
      <xdr:rowOff>104708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0C87940-453B-4C2C-ADCC-E5DAEB915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112059</xdr:colOff>
      <xdr:row>17</xdr:row>
      <xdr:rowOff>44824</xdr:rowOff>
    </xdr:from>
    <xdr:to>
      <xdr:col>11</xdr:col>
      <xdr:colOff>134471</xdr:colOff>
      <xdr:row>19</xdr:row>
      <xdr:rowOff>44824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2E612AD1-3E03-41A8-86D7-D3DED0AD5445}"/>
            </a:ext>
          </a:extLst>
        </xdr:cNvPr>
        <xdr:cNvSpPr txBox="1"/>
      </xdr:nvSpPr>
      <xdr:spPr>
        <a:xfrm>
          <a:off x="6667500" y="2790265"/>
          <a:ext cx="1232647" cy="313765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tr-TR" sz="1400" b="1" kern="1200">
              <a:solidFill>
                <a:schemeClr val="tx1">
                  <a:lumMod val="85000"/>
                  <a:lumOff val="15000"/>
                </a:schemeClr>
              </a:solidFill>
              <a:latin typeface="+mn-lt"/>
            </a:rPr>
            <a:t>Target</a:t>
          </a:r>
          <a:r>
            <a:rPr lang="tr-TR" sz="1400" b="1" kern="1200">
              <a:solidFill>
                <a:schemeClr val="tx1">
                  <a:lumMod val="85000"/>
                  <a:lumOff val="15000"/>
                </a:schemeClr>
              </a:solidFill>
            </a:rPr>
            <a:t> Price</a:t>
          </a:r>
          <a:endParaRPr lang="en-US" sz="1400" b="1" kern="1200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0.0616</cdr:x>
      <cdr:y>0.40747</cdr:y>
    </cdr:from>
    <cdr:to>
      <cdr:x>0.98023</cdr:x>
      <cdr:y>0.41139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ECA56D82-9D56-48EE-8183-6AD9DAD10D2E}"/>
            </a:ext>
          </a:extLst>
        </cdr:cNvPr>
        <cdr:cNvCxnSpPr/>
      </cdr:nvCxnSpPr>
      <cdr:spPr>
        <a:xfrm xmlns:a="http://schemas.openxmlformats.org/drawingml/2006/main" flipV="1">
          <a:off x="593619" y="2321624"/>
          <a:ext cx="8851795" cy="22325"/>
        </a:xfrm>
        <a:prstGeom xmlns:a="http://schemas.openxmlformats.org/drawingml/2006/main" prst="line">
          <a:avLst/>
        </a:prstGeom>
        <a:ln xmlns:a="http://schemas.openxmlformats.org/drawingml/2006/main" w="28575">
          <a:solidFill>
            <a:schemeClr val="tx1">
              <a:lumMod val="75000"/>
              <a:lumOff val="25000"/>
            </a:schemeClr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0.57809</cdr:x>
      <cdr:y>0.36527</cdr:y>
    </cdr:from>
    <cdr:to>
      <cdr:x>0.67276</cdr:x>
      <cdr:y>0.5243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098C90ED-66B8-C0DC-3468-20EB49D339ED}"/>
            </a:ext>
          </a:extLst>
        </cdr:cNvPr>
        <cdr:cNvSpPr txBox="1"/>
      </cdr:nvSpPr>
      <cdr:spPr>
        <a:xfrm xmlns:a="http://schemas.openxmlformats.org/drawingml/2006/main">
          <a:off x="5583434" y="2100278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 kern="1200"/>
        </a:p>
      </cdr:txBody>
    </cdr:sp>
  </cdr:relSizeAnchor>
  <cdr:relSizeAnchor xmlns:cdr="http://schemas.openxmlformats.org/drawingml/2006/chartDrawing">
    <cdr:from>
      <cdr:x>0.06173</cdr:x>
      <cdr:y>0.44605</cdr:y>
    </cdr:from>
    <cdr:to>
      <cdr:x>0.97867</cdr:x>
      <cdr:y>0.44951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86DAA5A3-2EC8-2FE8-84AD-D83546553AC4}"/>
            </a:ext>
          </a:extLst>
        </cdr:cNvPr>
        <cdr:cNvCxnSpPr/>
      </cdr:nvCxnSpPr>
      <cdr:spPr>
        <a:xfrm xmlns:a="http://schemas.openxmlformats.org/drawingml/2006/main" flipV="1">
          <a:off x="590993" y="2429605"/>
          <a:ext cx="8778510" cy="18846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bg2">
              <a:lumMod val="25000"/>
            </a:schemeClr>
          </a:solidFill>
        </a:ln>
      </cdr:spPr>
      <cdr:style>
        <a:lnRef xmlns:a="http://schemas.openxmlformats.org/drawingml/2006/main" idx="3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2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0.63364</cdr:x>
      <cdr:y>0.3533</cdr:y>
    </cdr:from>
    <cdr:to>
      <cdr:x>0.72915</cdr:x>
      <cdr:y>0.41091</cdr:y>
    </cdr:to>
    <cdr:sp macro="" textlink="">
      <cdr:nvSpPr>
        <cdr:cNvPr id="13" name="TextBox 12">
          <a:extLst xmlns:a="http://schemas.openxmlformats.org/drawingml/2006/main">
            <a:ext uri="{FF2B5EF4-FFF2-40B4-BE49-F238E27FC236}">
              <a16:creationId xmlns:a16="http://schemas.microsoft.com/office/drawing/2014/main" id="{6E24918D-97F0-199D-AC8A-5B7C3AAFD7DC}"/>
            </a:ext>
          </a:extLst>
        </cdr:cNvPr>
        <cdr:cNvSpPr txBox="1"/>
      </cdr:nvSpPr>
      <cdr:spPr>
        <a:xfrm xmlns:a="http://schemas.openxmlformats.org/drawingml/2006/main">
          <a:off x="6066261" y="1924396"/>
          <a:ext cx="914400" cy="3137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tr-TR" sz="1400" b="1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</a:rPr>
            <a:t>Share</a:t>
          </a:r>
          <a:r>
            <a:rPr lang="tr-TR" sz="1400" b="1" kern="1200">
              <a:solidFill>
                <a:schemeClr val="tx1">
                  <a:lumMod val="65000"/>
                  <a:lumOff val="35000"/>
                </a:schemeClr>
              </a:solidFill>
            </a:rPr>
            <a:t> Price</a:t>
          </a:r>
          <a:endParaRPr lang="en-US" sz="1400" b="1" kern="1200">
            <a:solidFill>
              <a:schemeClr val="tx1">
                <a:lumMod val="65000"/>
                <a:lumOff val="35000"/>
              </a:schemeClr>
            </a:solidFill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e6237f9b02a2a353/Masa&#252;st&#252;/MODEL%20EQ%20RES/Furkan_Panayir_Lloyds_Bank_Valuation_Model.xlsx" TargetMode="External"/><Relationship Id="rId1" Type="http://schemas.openxmlformats.org/officeDocument/2006/relationships/externalLinkPath" Target="Furkan_Panayir_Lloyds_Bank_Valuation_Mod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Model"/>
      <sheetName val="Inputs"/>
      <sheetName val="DDM"/>
      <sheetName val="Residual Income"/>
      <sheetName val="Net Asset Value"/>
      <sheetName val="Comps &amp; Regression"/>
      <sheetName val="Football Field Chart"/>
    </sheetNames>
    <sheetDataSet>
      <sheetData sheetId="0" refreshError="1"/>
      <sheetData sheetId="1" refreshError="1">
        <row r="120">
          <cell r="F120">
            <v>282870</v>
          </cell>
          <cell r="G120">
            <v>296119.5</v>
          </cell>
          <cell r="H120">
            <v>322337</v>
          </cell>
          <cell r="I120">
            <v>319594.73000000004</v>
          </cell>
          <cell r="J120">
            <v>326625.81406</v>
          </cell>
          <cell r="K120">
            <v>359489.39596696</v>
          </cell>
          <cell r="L120">
            <v>367398.16267823312</v>
          </cell>
          <cell r="M120">
            <v>375480.92225715431</v>
          </cell>
        </row>
      </sheetData>
      <sheetData sheetId="2" refreshError="1">
        <row r="12">
          <cell r="H12">
            <v>9.0999999999999998E-2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34"/>
  <sheetViews>
    <sheetView showGridLines="0" tabSelected="1" zoomScaleNormal="100" workbookViewId="0">
      <selection activeCell="S22" sqref="S22"/>
    </sheetView>
  </sheetViews>
  <sheetFormatPr defaultColWidth="9.140625" defaultRowHeight="15"/>
  <cols>
    <col min="1" max="4" width="9.140625" style="1"/>
    <col min="5" max="5" width="10.140625" style="1" bestFit="1" customWidth="1"/>
    <col min="6" max="9" width="9.140625" style="1"/>
    <col min="10" max="10" width="9.42578125" style="1" customWidth="1"/>
    <col min="11" max="11" width="9.85546875" style="1" customWidth="1"/>
    <col min="12" max="12" width="10.140625" style="1" bestFit="1" customWidth="1"/>
    <col min="13" max="16384" width="9.140625" style="1"/>
  </cols>
  <sheetData>
    <row r="1" spans="2:14" ht="15.75" thickBot="1"/>
    <row r="2" spans="2:14" ht="15.75" customHeight="1" thickTop="1">
      <c r="B2" s="482" t="s">
        <v>375</v>
      </c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4"/>
    </row>
    <row r="3" spans="2:14" ht="15" customHeight="1">
      <c r="B3" s="485"/>
      <c r="C3" s="486"/>
      <c r="D3" s="486"/>
      <c r="E3" s="486"/>
      <c r="F3" s="486"/>
      <c r="G3" s="486"/>
      <c r="H3" s="486"/>
      <c r="I3" s="486"/>
      <c r="J3" s="486"/>
      <c r="K3" s="486"/>
      <c r="L3" s="486"/>
      <c r="M3" s="486"/>
      <c r="N3" s="487"/>
    </row>
    <row r="4" spans="2:14" ht="15" customHeight="1">
      <c r="B4" s="485"/>
      <c r="C4" s="486"/>
      <c r="D4" s="486"/>
      <c r="E4" s="486"/>
      <c r="F4" s="486"/>
      <c r="G4" s="486"/>
      <c r="H4" s="486"/>
      <c r="I4" s="486"/>
      <c r="J4" s="486"/>
      <c r="K4" s="486"/>
      <c r="L4" s="486"/>
      <c r="M4" s="486"/>
      <c r="N4" s="487"/>
    </row>
    <row r="5" spans="2:14" ht="15" customHeight="1">
      <c r="B5" s="485"/>
      <c r="C5" s="486"/>
      <c r="D5" s="486"/>
      <c r="E5" s="486"/>
      <c r="F5" s="486"/>
      <c r="G5" s="486"/>
      <c r="H5" s="486"/>
      <c r="I5" s="486"/>
      <c r="J5" s="486"/>
      <c r="K5" s="486"/>
      <c r="L5" s="486"/>
      <c r="M5" s="486"/>
      <c r="N5" s="487"/>
    </row>
    <row r="6" spans="2:14" ht="15" customHeight="1">
      <c r="B6" s="477"/>
      <c r="C6" s="478"/>
      <c r="D6" s="478"/>
      <c r="E6" s="478"/>
      <c r="F6" s="478"/>
      <c r="G6" s="478"/>
      <c r="H6" s="478"/>
      <c r="I6" s="478"/>
      <c r="J6" s="478"/>
      <c r="K6" s="478"/>
      <c r="L6" s="478"/>
      <c r="M6" s="478"/>
      <c r="N6" s="479"/>
    </row>
    <row r="7" spans="2:14" ht="15" customHeight="1">
      <c r="B7" s="480"/>
      <c r="C7" s="478"/>
      <c r="D7" s="478"/>
      <c r="E7" s="478"/>
      <c r="F7" s="478"/>
      <c r="G7" s="478"/>
      <c r="H7" s="478"/>
      <c r="I7" s="478"/>
      <c r="J7" s="478"/>
      <c r="K7" s="478"/>
      <c r="L7" s="478"/>
      <c r="M7" s="478"/>
      <c r="N7" s="479"/>
    </row>
    <row r="8" spans="2:14" ht="15" customHeight="1">
      <c r="B8" s="480"/>
      <c r="C8" s="478"/>
      <c r="D8" s="478"/>
      <c r="E8" s="478"/>
      <c r="F8" s="478"/>
      <c r="G8" s="478"/>
      <c r="H8" s="478"/>
      <c r="I8" s="478"/>
      <c r="J8" s="478"/>
      <c r="K8" s="478"/>
      <c r="L8" s="478"/>
      <c r="M8" s="478"/>
      <c r="N8" s="479"/>
    </row>
    <row r="9" spans="2:14" ht="18.75">
      <c r="B9" s="20"/>
      <c r="C9" s="8"/>
      <c r="D9" s="8"/>
      <c r="E9" s="8"/>
      <c r="F9" s="3"/>
      <c r="G9" s="3"/>
      <c r="H9" s="4"/>
      <c r="I9" s="5"/>
      <c r="J9" s="5"/>
      <c r="K9" s="5"/>
      <c r="L9" s="6"/>
      <c r="M9" s="7"/>
      <c r="N9" s="21"/>
    </row>
    <row r="10" spans="2:14" ht="15.75">
      <c r="B10" s="20"/>
      <c r="C10" s="19" t="s">
        <v>0</v>
      </c>
      <c r="D10" s="3"/>
      <c r="E10" s="3"/>
      <c r="F10" s="3"/>
      <c r="G10" s="3"/>
      <c r="H10" s="9"/>
      <c r="I10" s="8"/>
      <c r="K10" s="8"/>
      <c r="L10" s="8"/>
      <c r="M10" s="3"/>
      <c r="N10" s="21"/>
    </row>
    <row r="11" spans="2:14" ht="15.75">
      <c r="B11" s="20"/>
      <c r="C11" s="10"/>
      <c r="D11" s="3"/>
      <c r="E11" s="3"/>
      <c r="F11" s="3"/>
      <c r="G11" s="3"/>
      <c r="H11" s="9"/>
      <c r="I11" s="8"/>
      <c r="K11" s="12"/>
      <c r="L11" s="10"/>
      <c r="M11" s="8"/>
      <c r="N11" s="21"/>
    </row>
    <row r="12" spans="2:14" ht="15.75">
      <c r="B12" s="20"/>
      <c r="C12" s="121" t="s">
        <v>187</v>
      </c>
      <c r="D12" s="3"/>
      <c r="E12" s="3"/>
      <c r="F12" s="3"/>
      <c r="G12" s="3"/>
      <c r="H12" s="9"/>
      <c r="I12" s="8"/>
      <c r="J12" s="123" t="s">
        <v>194</v>
      </c>
      <c r="K12" s="3"/>
      <c r="L12" s="10"/>
      <c r="M12" s="13"/>
      <c r="N12" s="21"/>
    </row>
    <row r="13" spans="2:14" ht="15.75">
      <c r="B13" s="20"/>
      <c r="C13" s="121" t="s">
        <v>188</v>
      </c>
      <c r="D13" s="3"/>
      <c r="E13" s="3"/>
      <c r="F13" s="3"/>
      <c r="G13" s="3"/>
      <c r="H13" s="9"/>
      <c r="I13" s="10"/>
      <c r="J13" s="124" t="s">
        <v>208</v>
      </c>
      <c r="K13" s="3"/>
      <c r="L13" s="10"/>
      <c r="M13" s="13"/>
      <c r="N13" s="21"/>
    </row>
    <row r="14" spans="2:14" ht="15.75">
      <c r="B14" s="20"/>
      <c r="C14" s="121" t="s">
        <v>189</v>
      </c>
      <c r="D14" s="3"/>
      <c r="E14" s="3"/>
      <c r="F14" s="3"/>
      <c r="G14" s="3"/>
      <c r="H14" s="9"/>
      <c r="I14" s="10"/>
      <c r="J14" s="11" t="s">
        <v>374</v>
      </c>
      <c r="K14" s="10"/>
      <c r="L14" s="9"/>
      <c r="M14" s="13"/>
      <c r="N14" s="21"/>
    </row>
    <row r="15" spans="2:14" ht="15.75">
      <c r="B15" s="20"/>
      <c r="C15" s="121" t="s">
        <v>190</v>
      </c>
      <c r="D15" s="3"/>
      <c r="E15" s="3"/>
      <c r="F15" s="3"/>
      <c r="G15" s="3"/>
      <c r="H15" s="9"/>
      <c r="I15" s="10"/>
      <c r="J15" s="14" t="s">
        <v>7</v>
      </c>
      <c r="K15" s="10"/>
      <c r="L15" s="9"/>
      <c r="M15" s="13"/>
      <c r="N15" s="21"/>
    </row>
    <row r="16" spans="2:14" ht="15.75">
      <c r="B16" s="20"/>
      <c r="C16" s="121" t="s">
        <v>191</v>
      </c>
      <c r="D16" s="3"/>
      <c r="E16" s="3"/>
      <c r="F16" s="3"/>
      <c r="G16" s="3"/>
      <c r="H16" s="9"/>
      <c r="I16" s="10"/>
      <c r="J16" s="14" t="s">
        <v>1</v>
      </c>
      <c r="K16" s="10"/>
      <c r="L16" s="9"/>
      <c r="M16" s="13"/>
      <c r="N16" s="21"/>
    </row>
    <row r="17" spans="2:14" ht="15.75">
      <c r="B17" s="20"/>
      <c r="C17" s="178" t="s">
        <v>240</v>
      </c>
      <c r="D17" s="8"/>
      <c r="E17" s="15"/>
      <c r="F17" s="15"/>
      <c r="G17" s="15"/>
      <c r="H17" s="15"/>
      <c r="I17" s="15"/>
      <c r="J17" s="14" t="s">
        <v>8</v>
      </c>
      <c r="K17" s="15"/>
      <c r="L17" s="15"/>
      <c r="M17" s="13"/>
      <c r="N17" s="21"/>
    </row>
    <row r="18" spans="2:14" ht="15.75">
      <c r="B18" s="20"/>
      <c r="C18" s="121" t="s">
        <v>4</v>
      </c>
      <c r="D18" s="15"/>
      <c r="E18" s="8"/>
      <c r="F18" s="8"/>
      <c r="G18" s="8"/>
      <c r="H18" s="8"/>
      <c r="I18" s="8"/>
      <c r="J18" s="8"/>
      <c r="K18" s="8"/>
      <c r="L18" s="8"/>
      <c r="M18" s="15"/>
      <c r="N18" s="21"/>
    </row>
    <row r="19" spans="2:14">
      <c r="B19" s="20"/>
      <c r="E19" s="8"/>
      <c r="F19" s="8"/>
      <c r="G19" s="8"/>
      <c r="H19" s="8"/>
      <c r="I19" s="8"/>
      <c r="J19" s="8"/>
      <c r="K19" s="8"/>
      <c r="L19" s="8"/>
      <c r="M19" s="8"/>
      <c r="N19" s="21"/>
    </row>
    <row r="20" spans="2:14">
      <c r="B20" s="20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21"/>
    </row>
    <row r="21" spans="2:14" ht="15.75">
      <c r="B21" s="20"/>
      <c r="C21" s="18" t="s">
        <v>3</v>
      </c>
      <c r="D21" s="17"/>
      <c r="E21" s="8"/>
      <c r="F21" s="17"/>
      <c r="G21" s="17"/>
      <c r="H21" s="17"/>
      <c r="I21" s="17"/>
      <c r="J21" s="476" t="s">
        <v>370</v>
      </c>
      <c r="M21" s="8"/>
      <c r="N21" s="21"/>
    </row>
    <row r="22" spans="2:14">
      <c r="B22" s="20"/>
      <c r="C22" s="16"/>
      <c r="D22" s="8"/>
      <c r="E22" s="8"/>
      <c r="F22" s="8"/>
      <c r="G22" s="8"/>
      <c r="H22" s="8"/>
      <c r="I22" s="8"/>
      <c r="J22" s="1" t="s">
        <v>371</v>
      </c>
      <c r="M22" s="8"/>
      <c r="N22" s="21"/>
    </row>
    <row r="23" spans="2:14" ht="15.75">
      <c r="B23" s="20"/>
      <c r="C23" s="122" t="s">
        <v>6</v>
      </c>
      <c r="E23" s="437" t="str">
        <f>IF(E26&lt;=-20%, "Strong Sell", IF(E26&lt;=-10%, "Sell", IF(E26&gt;=20%, "Strong Buy", IF(E26&gt;=10%, "Buy", "Hold"))))</f>
        <v>Hold</v>
      </c>
      <c r="F23" s="8"/>
      <c r="G23" s="8"/>
      <c r="H23" s="8"/>
      <c r="I23" s="8"/>
      <c r="J23" s="1" t="s">
        <v>372</v>
      </c>
      <c r="M23" s="8"/>
      <c r="N23" s="21"/>
    </row>
    <row r="24" spans="2:14" ht="15.75">
      <c r="B24" s="20"/>
      <c r="C24" s="122" t="s">
        <v>192</v>
      </c>
      <c r="D24" s="8"/>
      <c r="E24" s="438">
        <f>'Valuation Summary'!I49</f>
        <v>0.89639331917206588</v>
      </c>
      <c r="F24" s="8"/>
      <c r="G24" s="8"/>
      <c r="H24" s="8"/>
      <c r="I24" s="8"/>
      <c r="J24" s="1" t="s">
        <v>373</v>
      </c>
      <c r="M24" s="8"/>
      <c r="N24" s="21"/>
    </row>
    <row r="25" spans="2:14" ht="15.75">
      <c r="B25" s="20"/>
      <c r="C25" s="122" t="s">
        <v>5</v>
      </c>
      <c r="D25" s="8"/>
      <c r="E25" s="438">
        <f>'Inputs &amp; Assumptions'!H32</f>
        <v>0.97399999999999998</v>
      </c>
      <c r="F25" s="8"/>
      <c r="G25" s="8"/>
      <c r="H25" s="8"/>
      <c r="I25" s="8"/>
      <c r="M25" s="8"/>
      <c r="N25" s="21"/>
    </row>
    <row r="26" spans="2:14" ht="15.75">
      <c r="B26" s="20"/>
      <c r="C26" s="122" t="s">
        <v>193</v>
      </c>
      <c r="D26" s="8"/>
      <c r="E26" s="439">
        <f>E24/E25-1</f>
        <v>-7.9678317071800953E-2</v>
      </c>
      <c r="F26" s="8"/>
      <c r="G26" s="8"/>
      <c r="H26" s="8"/>
      <c r="I26" s="8"/>
      <c r="M26" s="8"/>
      <c r="N26" s="21"/>
    </row>
    <row r="27" spans="2:14">
      <c r="B27" s="20"/>
      <c r="M27" s="8"/>
      <c r="N27" s="21"/>
    </row>
    <row r="28" spans="2:14" ht="16.5">
      <c r="B28" s="22"/>
      <c r="N28" s="23"/>
    </row>
    <row r="29" spans="2:14" ht="16.5">
      <c r="B29" s="22"/>
      <c r="N29" s="23"/>
    </row>
    <row r="30" spans="2:14" ht="16.5">
      <c r="B30" s="22"/>
      <c r="N30" s="23"/>
    </row>
    <row r="31" spans="2:14" ht="17.25" thickBot="1">
      <c r="B31" s="24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6"/>
    </row>
    <row r="32" spans="2:14" ht="17.25" thickTop="1">
      <c r="B32" s="2"/>
      <c r="N32" s="2"/>
    </row>
    <row r="33" spans="2:14" ht="16.5">
      <c r="B33" s="2"/>
      <c r="C33" s="481"/>
      <c r="D33" s="481"/>
      <c r="E33" s="481"/>
      <c r="F33" s="481"/>
      <c r="G33" s="481"/>
      <c r="H33" s="481"/>
      <c r="I33" s="481"/>
      <c r="J33" s="481"/>
      <c r="K33" s="481"/>
      <c r="L33" s="481"/>
      <c r="N33" s="2"/>
    </row>
    <row r="34" spans="2:14" ht="16.5">
      <c r="B34" s="2"/>
      <c r="C34" s="481"/>
      <c r="D34" s="481"/>
      <c r="E34" s="481"/>
      <c r="F34" s="481"/>
      <c r="G34" s="481"/>
      <c r="H34" s="481"/>
      <c r="I34" s="481"/>
      <c r="J34" s="481"/>
      <c r="K34" s="481"/>
      <c r="L34" s="481"/>
      <c r="N34" s="2"/>
    </row>
  </sheetData>
  <mergeCells count="2">
    <mergeCell ref="C33:L34"/>
    <mergeCell ref="B2:N5"/>
  </mergeCells>
  <conditionalFormatting sqref="E23">
    <cfRule type="cellIs" dxfId="6" priority="1" operator="equal">
      <formula>"Strong Buy"</formula>
    </cfRule>
    <cfRule type="cellIs" dxfId="5" priority="2" operator="equal">
      <formula>"Buy"</formula>
    </cfRule>
    <cfRule type="cellIs" dxfId="4" priority="3" operator="equal">
      <formula>"Hold"</formula>
    </cfRule>
    <cfRule type="cellIs" dxfId="3" priority="4" operator="equal">
      <formula>"Sell"</formula>
    </cfRule>
    <cfRule type="cellIs" dxfId="2" priority="5" operator="equal">
      <formula>"Strong Sell"</formula>
    </cfRule>
  </conditionalFormatting>
  <conditionalFormatting sqref="M12:M17">
    <cfRule type="expression" dxfId="1" priority="6">
      <formula>M12=1</formula>
    </cfRule>
  </conditionalFormatting>
  <hyperlinks>
    <hyperlink ref="C12" location="'Financial Model'!A1" display="Financial Model" xr:uid="{999F0E6C-453D-46AC-BF4B-961DC4C40DB6}"/>
    <hyperlink ref="C13" location="'Inputs &amp; Assumptions'!A1" display="Inputs &amp; Assumptions" xr:uid="{8D485594-2283-4E0B-B025-4A4C900EE50E}"/>
    <hyperlink ref="C14" location="'Valuation – Residual  '!A1" display="Valuation – Residual  " xr:uid="{EF2032CA-2D61-44B5-A5AB-E481E249513C}"/>
    <hyperlink ref="C15" location="'Valuation – DDM'!A1" display="Valuation – DDM  " xr:uid="{46E54E62-5AA2-4C69-A3DF-5F223E398DB1}"/>
    <hyperlink ref="C16" location="Comps!A1" display="Comps" xr:uid="{754D1450-FE6A-45BD-A507-DC78AE8884AB}"/>
    <hyperlink ref="C18" location="'Valuation Summary'!A1" display="Valuation Summary" xr:uid="{09A7E9AF-3D88-43C9-8135-8C4F08634ECE}"/>
    <hyperlink ref="C17" location="'Net Asset Value'!A1" display="Net Asset Value" xr:uid="{3735F171-84FE-4FB4-9C1C-1AA7FA7AD72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D115C-EA62-4F9B-828A-B0D4525B60C6}">
  <dimension ref="B3:S350"/>
  <sheetViews>
    <sheetView showGridLines="0" zoomScaleNormal="100" workbookViewId="0">
      <selection activeCell="H324" sqref="H324"/>
    </sheetView>
  </sheetViews>
  <sheetFormatPr defaultColWidth="9.140625" defaultRowHeight="15"/>
  <cols>
    <col min="1" max="5" width="9.140625" style="63"/>
    <col min="6" max="6" width="9.28515625" style="63" bestFit="1" customWidth="1"/>
    <col min="7" max="10" width="8.7109375" style="63" bestFit="1" customWidth="1"/>
    <col min="11" max="13" width="9" style="63" bestFit="1" customWidth="1"/>
    <col min="14" max="16384" width="9.140625" style="63"/>
  </cols>
  <sheetData>
    <row r="3" spans="2:16" ht="17.25" customHeight="1">
      <c r="B3" s="31" t="s">
        <v>9</v>
      </c>
      <c r="C3" s="32"/>
      <c r="D3" s="32"/>
      <c r="E3" s="32"/>
      <c r="F3" s="32"/>
      <c r="G3" s="33"/>
      <c r="H3" s="33"/>
      <c r="I3" s="34"/>
      <c r="J3" s="34"/>
      <c r="K3" s="34"/>
      <c r="L3" s="34"/>
      <c r="M3" s="34"/>
      <c r="N3" s="43"/>
    </row>
    <row r="5" spans="2:16">
      <c r="B5" s="35" t="s">
        <v>10</v>
      </c>
      <c r="C5" s="36"/>
      <c r="D5" s="36"/>
      <c r="E5" s="36"/>
      <c r="F5" s="229">
        <v>2023</v>
      </c>
      <c r="G5" s="37">
        <f>+F5+1</f>
        <v>2024</v>
      </c>
      <c r="H5" s="37">
        <f t="shared" ref="H5:I5" si="0">+G5+1</f>
        <v>2025</v>
      </c>
      <c r="I5" s="38">
        <f t="shared" si="0"/>
        <v>2026</v>
      </c>
      <c r="J5" s="37">
        <f t="shared" ref="J5" si="1">+I5+1</f>
        <v>2027</v>
      </c>
      <c r="K5" s="37">
        <f t="shared" ref="K5" si="2">+J5+1</f>
        <v>2028</v>
      </c>
      <c r="L5" s="37">
        <f t="shared" ref="L5" si="3">+K5+1</f>
        <v>2029</v>
      </c>
      <c r="M5" s="37">
        <f t="shared" ref="M5" si="4">+L5+1</f>
        <v>2030</v>
      </c>
    </row>
    <row r="7" spans="2:16">
      <c r="B7" s="30" t="s">
        <v>11</v>
      </c>
    </row>
    <row r="8" spans="2:16">
      <c r="B8" s="45" t="s">
        <v>33</v>
      </c>
      <c r="C8" s="46"/>
      <c r="D8" s="64"/>
      <c r="E8" s="64"/>
      <c r="F8" s="52">
        <v>78110</v>
      </c>
      <c r="G8" s="52">
        <v>62705</v>
      </c>
      <c r="H8" s="52">
        <v>56661</v>
      </c>
      <c r="I8" s="53">
        <f>I118</f>
        <v>56263.69200080321</v>
      </c>
      <c r="J8" s="53">
        <f t="shared" ref="J8:M8" si="5">J118</f>
        <v>51998.807446847335</v>
      </c>
      <c r="K8" s="53">
        <f t="shared" si="5"/>
        <v>45209.128065027391</v>
      </c>
      <c r="L8" s="53">
        <f t="shared" si="5"/>
        <v>36535.774645459845</v>
      </c>
      <c r="M8" s="53">
        <f t="shared" si="5"/>
        <v>24107.598126204903</v>
      </c>
    </row>
    <row r="9" spans="2:16">
      <c r="B9" s="47" t="s">
        <v>24</v>
      </c>
      <c r="C9" s="46"/>
      <c r="D9" s="64"/>
      <c r="E9" s="64"/>
      <c r="F9" s="52">
        <v>203318</v>
      </c>
      <c r="G9" s="52">
        <v>215925</v>
      </c>
      <c r="H9" s="52">
        <v>240413</v>
      </c>
      <c r="I9" s="53">
        <f>I335</f>
        <v>248827.45499999999</v>
      </c>
      <c r="J9" s="53">
        <f>J335</f>
        <v>257536.41592499998</v>
      </c>
      <c r="K9" s="53">
        <f>K335</f>
        <v>266550.19048237498</v>
      </c>
      <c r="L9" s="53">
        <f>L335</f>
        <v>275879.44714925811</v>
      </c>
      <c r="M9" s="53">
        <f>M335</f>
        <v>285535.22779948212</v>
      </c>
    </row>
    <row r="10" spans="2:16">
      <c r="B10" s="47" t="s">
        <v>34</v>
      </c>
      <c r="C10" s="46"/>
      <c r="D10" s="64"/>
      <c r="E10" s="64"/>
      <c r="F10" s="52">
        <v>22356</v>
      </c>
      <c r="G10" s="52">
        <v>24065</v>
      </c>
      <c r="H10" s="52">
        <v>19727</v>
      </c>
      <c r="I10" s="53">
        <f>I337</f>
        <v>20417.445</v>
      </c>
      <c r="J10" s="53">
        <f>J337</f>
        <v>21132.055574999998</v>
      </c>
      <c r="K10" s="53">
        <f>K337</f>
        <v>21871.677520124998</v>
      </c>
      <c r="L10" s="53">
        <f>L337</f>
        <v>22637.186233329372</v>
      </c>
      <c r="M10" s="53">
        <f>M337</f>
        <v>23429.487751495897</v>
      </c>
    </row>
    <row r="11" spans="2:16">
      <c r="B11" s="47" t="s">
        <v>35</v>
      </c>
      <c r="C11" s="49"/>
      <c r="D11" s="65"/>
      <c r="E11" s="64"/>
      <c r="F11" s="52">
        <v>10764</v>
      </c>
      <c r="G11" s="52">
        <v>7900</v>
      </c>
      <c r="H11" s="52">
        <v>7236</v>
      </c>
      <c r="I11" s="53">
        <f t="shared" ref="I11:M12" si="6">I180</f>
        <v>9847.8779999999988</v>
      </c>
      <c r="J11" s="53">
        <f t="shared" si="6"/>
        <v>10096.645374</v>
      </c>
      <c r="K11" s="53">
        <f t="shared" si="6"/>
        <v>10358.495497601998</v>
      </c>
      <c r="L11" s="53">
        <f t="shared" si="6"/>
        <v>10629.272801646845</v>
      </c>
      <c r="M11" s="53">
        <f t="shared" si="6"/>
        <v>10884.211416575781</v>
      </c>
    </row>
    <row r="12" spans="2:16">
      <c r="B12" s="47" t="s">
        <v>36</v>
      </c>
      <c r="C12" s="49"/>
      <c r="D12" s="65"/>
      <c r="E12" s="64"/>
      <c r="F12" s="52">
        <v>449745</v>
      </c>
      <c r="G12" s="52">
        <v>459857</v>
      </c>
      <c r="H12" s="52">
        <v>481463</v>
      </c>
      <c r="I12" s="53">
        <f t="shared" si="6"/>
        <v>492393.89999999997</v>
      </c>
      <c r="J12" s="53">
        <f t="shared" si="6"/>
        <v>504832.26869999996</v>
      </c>
      <c r="K12" s="53">
        <f t="shared" si="6"/>
        <v>517924.77488009993</v>
      </c>
      <c r="L12" s="53">
        <f t="shared" si="6"/>
        <v>531463.6400823422</v>
      </c>
      <c r="M12" s="53">
        <f t="shared" si="6"/>
        <v>544210.57082878903</v>
      </c>
    </row>
    <row r="13" spans="2:16">
      <c r="B13" s="39" t="s">
        <v>37</v>
      </c>
      <c r="E13" s="64"/>
      <c r="F13" s="52">
        <v>38771</v>
      </c>
      <c r="G13" s="52">
        <v>49476</v>
      </c>
      <c r="H13" s="52">
        <v>49476</v>
      </c>
      <c r="I13" s="53">
        <f>I339</f>
        <v>51207.659999999996</v>
      </c>
      <c r="J13" s="53">
        <f>J339</f>
        <v>52999.92809999999</v>
      </c>
      <c r="K13" s="53">
        <f>K339</f>
        <v>54854.925583499986</v>
      </c>
      <c r="L13" s="53">
        <f>L339</f>
        <v>56774.84797892248</v>
      </c>
      <c r="M13" s="53">
        <f>M339</f>
        <v>58761.96765818476</v>
      </c>
    </row>
    <row r="14" spans="2:16">
      <c r="B14" s="39" t="s">
        <v>38</v>
      </c>
      <c r="E14" s="64"/>
      <c r="F14" s="52">
        <v>15355</v>
      </c>
      <c r="G14" s="52">
        <v>14544</v>
      </c>
      <c r="H14" s="52">
        <v>14544</v>
      </c>
      <c r="I14" s="52">
        <v>15000</v>
      </c>
      <c r="J14" s="52">
        <v>15000</v>
      </c>
      <c r="K14" s="52">
        <v>15000</v>
      </c>
      <c r="L14" s="52">
        <v>15000</v>
      </c>
      <c r="M14" s="52">
        <v>15000</v>
      </c>
    </row>
    <row r="15" spans="2:16">
      <c r="B15" s="47" t="s">
        <v>25</v>
      </c>
      <c r="C15" s="46"/>
      <c r="D15" s="64"/>
      <c r="E15" s="64"/>
      <c r="F15" s="52">
        <v>27592</v>
      </c>
      <c r="G15" s="52">
        <v>30690</v>
      </c>
      <c r="H15" s="52">
        <v>36320</v>
      </c>
      <c r="I15" s="53">
        <f>I341</f>
        <v>37591.199999999997</v>
      </c>
      <c r="J15" s="53">
        <f>J341</f>
        <v>38906.891999999993</v>
      </c>
      <c r="K15" s="53">
        <f>K341</f>
        <v>40268.633219999989</v>
      </c>
      <c r="L15" s="53">
        <f>L341</f>
        <v>41678.035382699985</v>
      </c>
      <c r="M15" s="53">
        <f>M341</f>
        <v>43136.766621094481</v>
      </c>
      <c r="P15" s="441"/>
    </row>
    <row r="16" spans="2:16">
      <c r="B16" s="47" t="s">
        <v>39</v>
      </c>
      <c r="C16" s="46"/>
      <c r="D16" s="64"/>
      <c r="E16" s="64"/>
      <c r="F16" s="52">
        <v>8306</v>
      </c>
      <c r="G16" s="52">
        <v>8188</v>
      </c>
      <c r="H16" s="52">
        <v>8593</v>
      </c>
      <c r="I16" s="53">
        <v>8500</v>
      </c>
      <c r="J16" s="53">
        <v>8500</v>
      </c>
      <c r="K16" s="53">
        <v>8500</v>
      </c>
      <c r="L16" s="53">
        <v>9000</v>
      </c>
      <c r="M16" s="53">
        <v>9500</v>
      </c>
    </row>
    <row r="17" spans="2:13">
      <c r="B17" s="47" t="s">
        <v>12</v>
      </c>
      <c r="C17" s="46"/>
      <c r="D17" s="64"/>
      <c r="E17" s="64"/>
      <c r="F17" s="52">
        <v>27136</v>
      </c>
      <c r="G17" s="52">
        <v>33347</v>
      </c>
      <c r="H17" s="52">
        <v>29639</v>
      </c>
      <c r="I17" s="52">
        <v>30000</v>
      </c>
      <c r="J17" s="52">
        <v>32000</v>
      </c>
      <c r="K17" s="52">
        <v>32000</v>
      </c>
      <c r="L17" s="52">
        <v>41000</v>
      </c>
      <c r="M17" s="52">
        <v>48000</v>
      </c>
    </row>
    <row r="18" spans="2:13">
      <c r="B18" s="48" t="s">
        <v>17</v>
      </c>
      <c r="C18" s="64"/>
      <c r="D18" s="64"/>
      <c r="E18" s="64"/>
      <c r="F18" s="56">
        <f>SUM(F8:F17)</f>
        <v>881453</v>
      </c>
      <c r="G18" s="56">
        <f t="shared" ref="G18:M18" si="7">SUM(G8:G17)</f>
        <v>906697</v>
      </c>
      <c r="H18" s="56">
        <f t="shared" si="7"/>
        <v>944072</v>
      </c>
      <c r="I18" s="56">
        <f t="shared" si="7"/>
        <v>970049.23000080313</v>
      </c>
      <c r="J18" s="56">
        <f t="shared" si="7"/>
        <v>993003.01312084729</v>
      </c>
      <c r="K18" s="56">
        <f t="shared" si="7"/>
        <v>1012537.8252487292</v>
      </c>
      <c r="L18" s="56">
        <f t="shared" si="7"/>
        <v>1040598.2042736589</v>
      </c>
      <c r="M18" s="56">
        <f t="shared" si="7"/>
        <v>1062565.830201827</v>
      </c>
    </row>
    <row r="19" spans="2:13">
      <c r="F19" s="57"/>
      <c r="G19" s="57"/>
      <c r="H19" s="57"/>
      <c r="I19" s="57"/>
      <c r="J19" s="57"/>
      <c r="K19" s="57"/>
      <c r="L19" s="57"/>
      <c r="M19" s="57"/>
    </row>
    <row r="20" spans="2:13">
      <c r="B20" s="27" t="s">
        <v>13</v>
      </c>
      <c r="F20" s="57"/>
      <c r="G20" s="57"/>
      <c r="H20" s="57"/>
      <c r="I20" s="57"/>
      <c r="J20" s="57"/>
      <c r="K20" s="57"/>
      <c r="L20" s="57"/>
      <c r="M20" s="57"/>
    </row>
    <row r="21" spans="2:13">
      <c r="B21" s="39" t="s">
        <v>15</v>
      </c>
      <c r="C21" s="41"/>
      <c r="F21" s="52">
        <v>6153</v>
      </c>
      <c r="G21" s="52">
        <v>6158</v>
      </c>
      <c r="H21" s="52">
        <v>5779</v>
      </c>
      <c r="I21" s="53">
        <f>I212</f>
        <v>6626.9189999999999</v>
      </c>
      <c r="J21" s="53">
        <f>J212</f>
        <v>6803.9821199999988</v>
      </c>
      <c r="K21" s="53">
        <f>K212</f>
        <v>6974.0166729999983</v>
      </c>
      <c r="L21" s="53">
        <f>L212</f>
        <v>7148.3020898249979</v>
      </c>
      <c r="M21" s="53">
        <f>M212</f>
        <v>7267.8837347394665</v>
      </c>
    </row>
    <row r="22" spans="2:13">
      <c r="B22" s="39" t="s">
        <v>14</v>
      </c>
      <c r="C22" s="41"/>
      <c r="F22" s="52">
        <v>471396</v>
      </c>
      <c r="G22" s="52">
        <v>482745</v>
      </c>
      <c r="H22" s="52">
        <v>496457</v>
      </c>
      <c r="I22" s="53">
        <f>I211</f>
        <v>509763</v>
      </c>
      <c r="J22" s="53">
        <f>J211</f>
        <v>523383.23999999993</v>
      </c>
      <c r="K22" s="53">
        <f>K211</f>
        <v>536462.82099999988</v>
      </c>
      <c r="L22" s="53">
        <f>L211</f>
        <v>549869.39152499987</v>
      </c>
      <c r="M22" s="53">
        <f>M211</f>
        <v>559067.97959534358</v>
      </c>
    </row>
    <row r="23" spans="2:13">
      <c r="B23" s="39" t="s">
        <v>40</v>
      </c>
      <c r="C23" s="41"/>
      <c r="F23" s="52">
        <v>37703</v>
      </c>
      <c r="G23" s="52">
        <v>37760</v>
      </c>
      <c r="H23" s="52">
        <v>38570</v>
      </c>
      <c r="I23" s="53">
        <f>I221*($H$23/($H$23+$H$26+$H$28))</f>
        <v>37994.174137454036</v>
      </c>
      <c r="J23" s="53">
        <f>J221*($H$23/($H$23+$H$26+$H$28))</f>
        <v>38953.945463568467</v>
      </c>
      <c r="K23" s="53">
        <f>K221*($H$23/($H$23+$H$26+$H$28))</f>
        <v>39964.19144692125</v>
      </c>
      <c r="L23" s="53">
        <f>L221*($H$23/($H$23+$H$26+$H$28))</f>
        <v>41008.879454058442</v>
      </c>
      <c r="M23" s="53">
        <f>M221*($H$23/($H$23+$H$26+$H$28))</f>
        <v>41992.460092442816</v>
      </c>
    </row>
    <row r="24" spans="2:13">
      <c r="B24" s="39" t="s">
        <v>41</v>
      </c>
      <c r="C24" s="41"/>
      <c r="F24" s="52">
        <v>24914</v>
      </c>
      <c r="G24" s="52">
        <v>27611</v>
      </c>
      <c r="H24" s="52">
        <v>27909</v>
      </c>
      <c r="I24" s="53">
        <f>I345</f>
        <v>28885.814999999999</v>
      </c>
      <c r="J24" s="53">
        <f>J345</f>
        <v>29896.818524999995</v>
      </c>
      <c r="K24" s="53">
        <f>K345</f>
        <v>30943.207173374991</v>
      </c>
      <c r="L24" s="53">
        <f>L345</f>
        <v>32026.219424443112</v>
      </c>
      <c r="M24" s="53">
        <f>M345</f>
        <v>33147.137104298621</v>
      </c>
    </row>
    <row r="25" spans="2:13">
      <c r="B25" s="39" t="s">
        <v>34</v>
      </c>
      <c r="C25" s="41"/>
      <c r="F25" s="52">
        <v>20149</v>
      </c>
      <c r="G25" s="52">
        <v>21676</v>
      </c>
      <c r="H25" s="52">
        <v>16132</v>
      </c>
      <c r="I25" s="53">
        <f>I347</f>
        <v>16696.62</v>
      </c>
      <c r="J25" s="53">
        <f>J347</f>
        <v>17281.001699999997</v>
      </c>
      <c r="K25" s="53">
        <f>K347</f>
        <v>17885.836759499995</v>
      </c>
      <c r="L25" s="53">
        <f>L347</f>
        <v>18511.841046082493</v>
      </c>
      <c r="M25" s="53">
        <f>M347</f>
        <v>19159.755482695378</v>
      </c>
    </row>
    <row r="26" spans="2:13">
      <c r="B26" s="39" t="s">
        <v>42</v>
      </c>
      <c r="C26" s="41"/>
      <c r="F26" s="52">
        <v>75592</v>
      </c>
      <c r="G26" s="52">
        <v>70834</v>
      </c>
      <c r="H26" s="52">
        <v>78271</v>
      </c>
      <c r="I26" s="53">
        <f>I221*($H$26/($H$23+$H$26+$H$28))</f>
        <v>77102.463155630408</v>
      </c>
      <c r="J26" s="53">
        <f>J221*($H$26/($H$23+$H$26+$H$28))</f>
        <v>79050.149478324267</v>
      </c>
      <c r="K26" s="53">
        <f>K221*($H$26/($H$23+$H$26+$H$28))</f>
        <v>81100.265199428919</v>
      </c>
      <c r="L26" s="53">
        <f>L221*($H$26/($H$23+$H$26+$H$28))</f>
        <v>83220.274922183249</v>
      </c>
      <c r="M26" s="53">
        <f>M221*($H$26/($H$23+$H$26+$H$28))</f>
        <v>85216.278037220414</v>
      </c>
    </row>
    <row r="27" spans="2:13">
      <c r="B27" s="39" t="s">
        <v>26</v>
      </c>
      <c r="C27" s="41"/>
      <c r="F27" s="52">
        <v>165101</v>
      </c>
      <c r="G27" s="52">
        <v>173292</v>
      </c>
      <c r="H27" s="52">
        <v>196924</v>
      </c>
      <c r="I27" s="53">
        <f>I349</f>
        <v>203816.34</v>
      </c>
      <c r="J27" s="53">
        <f>J349</f>
        <v>210949.91189999998</v>
      </c>
      <c r="K27" s="53">
        <f>K349</f>
        <v>218333.15881649996</v>
      </c>
      <c r="L27" s="53">
        <f>L349</f>
        <v>225974.81937507744</v>
      </c>
      <c r="M27" s="53">
        <f>M349</f>
        <v>233883.93805320514</v>
      </c>
    </row>
    <row r="28" spans="2:13">
      <c r="B28" s="39" t="s">
        <v>43</v>
      </c>
      <c r="C28" s="41"/>
      <c r="F28" s="52">
        <v>10253</v>
      </c>
      <c r="G28" s="52">
        <v>10089</v>
      </c>
      <c r="H28" s="52">
        <v>25918</v>
      </c>
      <c r="I28" s="53">
        <f>I221*($H$28/($H$23+$H$26+$H$28))</f>
        <v>25531.060546915571</v>
      </c>
      <c r="J28" s="53">
        <f>J221*($H$28/($H$23+$H$26+$H$28))</f>
        <v>26176.000998827261</v>
      </c>
      <c r="K28" s="53">
        <f>K221*($H$28/($H$23+$H$26+$H$28))</f>
        <v>26854.859059406404</v>
      </c>
      <c r="L28" s="53">
        <f>L221*($H$28/($H$23+$H$26+$H$28))</f>
        <v>27556.861231275256</v>
      </c>
      <c r="M28" s="53">
        <f>M221*($H$28/($H$23+$H$26+$H$28))</f>
        <v>28217.800899038961</v>
      </c>
    </row>
    <row r="29" spans="2:13">
      <c r="B29" s="39" t="s">
        <v>16</v>
      </c>
      <c r="C29" s="41"/>
      <c r="F29" s="52">
        <v>22827</v>
      </c>
      <c r="G29" s="52">
        <v>30644</v>
      </c>
      <c r="H29" s="52">
        <v>10245</v>
      </c>
      <c r="I29" s="52">
        <v>15044</v>
      </c>
      <c r="J29" s="52">
        <v>9905</v>
      </c>
      <c r="K29" s="52">
        <v>1788</v>
      </c>
      <c r="L29" s="52">
        <v>2389</v>
      </c>
      <c r="M29" s="52">
        <v>924</v>
      </c>
    </row>
    <row r="30" spans="2:13">
      <c r="B30" s="28" t="s">
        <v>18</v>
      </c>
      <c r="F30" s="56">
        <f>SUM(F21:F29)</f>
        <v>834088</v>
      </c>
      <c r="G30" s="56">
        <f t="shared" ref="G30:M30" si="8">SUM(G21:G29)</f>
        <v>860809</v>
      </c>
      <c r="H30" s="56">
        <f t="shared" si="8"/>
        <v>896205</v>
      </c>
      <c r="I30" s="56">
        <f t="shared" si="8"/>
        <v>921460.39183999994</v>
      </c>
      <c r="J30" s="56">
        <f t="shared" si="8"/>
        <v>942400.05018571985</v>
      </c>
      <c r="K30" s="56">
        <f t="shared" si="8"/>
        <v>960306.35612813127</v>
      </c>
      <c r="L30" s="56">
        <f t="shared" si="8"/>
        <v>987705.58906794491</v>
      </c>
      <c r="M30" s="56">
        <f t="shared" si="8"/>
        <v>1008877.2329989843</v>
      </c>
    </row>
    <row r="31" spans="2:13">
      <c r="F31" s="57"/>
      <c r="G31" s="57"/>
      <c r="H31" s="57"/>
      <c r="I31" s="57"/>
      <c r="J31" s="57"/>
      <c r="K31" s="57"/>
      <c r="L31" s="57"/>
      <c r="M31" s="57"/>
    </row>
    <row r="32" spans="2:13">
      <c r="B32" s="29" t="s">
        <v>19</v>
      </c>
      <c r="F32" s="57"/>
      <c r="G32" s="57"/>
      <c r="H32" s="57"/>
      <c r="I32" s="57"/>
      <c r="J32" s="57"/>
      <c r="K32" s="57"/>
      <c r="L32" s="57"/>
      <c r="M32" s="57"/>
    </row>
    <row r="33" spans="2:13">
      <c r="B33" s="39" t="s">
        <v>118</v>
      </c>
      <c r="F33" s="52">
        <v>24936</v>
      </c>
      <c r="G33" s="52">
        <v>24782</v>
      </c>
      <c r="H33" s="52">
        <v>24686</v>
      </c>
      <c r="I33" s="53">
        <f>I248</f>
        <v>24600</v>
      </c>
      <c r="J33" s="53">
        <f>J248</f>
        <v>24600</v>
      </c>
      <c r="K33" s="53">
        <f>K248</f>
        <v>24600</v>
      </c>
      <c r="L33" s="53">
        <f>L248</f>
        <v>24600</v>
      </c>
      <c r="M33" s="53">
        <f>M248</f>
        <v>24600</v>
      </c>
    </row>
    <row r="34" spans="2:13">
      <c r="B34" s="39" t="s">
        <v>20</v>
      </c>
      <c r="F34" s="52">
        <v>6790</v>
      </c>
      <c r="G34" s="52">
        <v>5912</v>
      </c>
      <c r="H34" s="52">
        <v>6291</v>
      </c>
      <c r="I34" s="53">
        <f t="shared" ref="I34:M35" si="9">I252</f>
        <v>7788.3537758032035</v>
      </c>
      <c r="J34" s="53">
        <f t="shared" si="9"/>
        <v>9202.8507249223676</v>
      </c>
      <c r="K34" s="53">
        <f t="shared" si="9"/>
        <v>10330.98165795824</v>
      </c>
      <c r="L34" s="53">
        <f t="shared" si="9"/>
        <v>10492.370324348445</v>
      </c>
      <c r="M34" s="53">
        <f t="shared" si="9"/>
        <v>10688.562486243782</v>
      </c>
    </row>
    <row r="35" spans="2:13">
      <c r="B35" s="39" t="s">
        <v>21</v>
      </c>
      <c r="F35" s="52">
        <v>8508</v>
      </c>
      <c r="G35" s="52">
        <v>8827</v>
      </c>
      <c r="H35" s="52">
        <v>10744</v>
      </c>
      <c r="I35" s="53">
        <f t="shared" si="9"/>
        <v>10000</v>
      </c>
      <c r="J35" s="53">
        <f t="shared" si="9"/>
        <v>10000</v>
      </c>
      <c r="K35" s="53">
        <f t="shared" si="9"/>
        <v>10500</v>
      </c>
      <c r="L35" s="53">
        <f t="shared" si="9"/>
        <v>11000</v>
      </c>
      <c r="M35" s="53">
        <f t="shared" si="9"/>
        <v>11500</v>
      </c>
    </row>
    <row r="36" spans="2:13">
      <c r="B36" s="42" t="s">
        <v>22</v>
      </c>
      <c r="F36" s="56">
        <f>SUM(F33:F35)</f>
        <v>40234</v>
      </c>
      <c r="G36" s="56">
        <f t="shared" ref="G36:M36" si="10">SUM(G33:G35)</f>
        <v>39521</v>
      </c>
      <c r="H36" s="56">
        <f t="shared" si="10"/>
        <v>41721</v>
      </c>
      <c r="I36" s="56">
        <f t="shared" si="10"/>
        <v>42388.353775803203</v>
      </c>
      <c r="J36" s="56">
        <f t="shared" si="10"/>
        <v>43802.850724922369</v>
      </c>
      <c r="K36" s="56">
        <f t="shared" si="10"/>
        <v>45430.98165795824</v>
      </c>
      <c r="L36" s="56">
        <f t="shared" si="10"/>
        <v>46092.370324348449</v>
      </c>
      <c r="M36" s="56">
        <f t="shared" si="10"/>
        <v>46788.562486243783</v>
      </c>
    </row>
    <row r="37" spans="2:13">
      <c r="B37" s="40" t="s">
        <v>27</v>
      </c>
      <c r="F37" s="52">
        <v>7131</v>
      </c>
      <c r="G37" s="52">
        <v>6367</v>
      </c>
      <c r="H37" s="52">
        <v>6146</v>
      </c>
      <c r="I37" s="53">
        <f>I255</f>
        <v>6200</v>
      </c>
      <c r="J37" s="53">
        <f>J255</f>
        <v>6800</v>
      </c>
      <c r="K37" s="53">
        <f>K255</f>
        <v>6800</v>
      </c>
      <c r="L37" s="53">
        <f>L255</f>
        <v>6800</v>
      </c>
      <c r="M37" s="53">
        <f>M255</f>
        <v>6900</v>
      </c>
    </row>
    <row r="38" spans="2:13">
      <c r="B38" s="42" t="s">
        <v>28</v>
      </c>
      <c r="F38" s="56">
        <f>F36+F37</f>
        <v>47365</v>
      </c>
      <c r="G38" s="56">
        <f t="shared" ref="G38:M38" si="11">G36+G37</f>
        <v>45888</v>
      </c>
      <c r="H38" s="56">
        <f t="shared" si="11"/>
        <v>47867</v>
      </c>
      <c r="I38" s="56">
        <f t="shared" si="11"/>
        <v>48588.353775803203</v>
      </c>
      <c r="J38" s="56">
        <f t="shared" si="11"/>
        <v>50602.850724922369</v>
      </c>
      <c r="K38" s="56">
        <f t="shared" si="11"/>
        <v>52230.98165795824</v>
      </c>
      <c r="L38" s="56">
        <f t="shared" si="11"/>
        <v>52892.370324348449</v>
      </c>
      <c r="M38" s="56">
        <f t="shared" si="11"/>
        <v>53688.562486243783</v>
      </c>
    </row>
    <row r="39" spans="2:13">
      <c r="F39" s="41"/>
      <c r="G39" s="41"/>
      <c r="H39" s="41"/>
      <c r="I39" s="41"/>
      <c r="J39" s="41"/>
      <c r="K39" s="41"/>
      <c r="L39" s="41"/>
      <c r="M39" s="41"/>
    </row>
    <row r="40" spans="2:13">
      <c r="B40" s="44" t="s">
        <v>23</v>
      </c>
      <c r="F40" s="58">
        <f>ROUND(F18-F30-F38,4)</f>
        <v>0</v>
      </c>
      <c r="G40" s="58">
        <f t="shared" ref="G40:H40" si="12">ROUND(G18-G30-G38,4)</f>
        <v>0</v>
      </c>
      <c r="H40" s="58">
        <f t="shared" si="12"/>
        <v>0</v>
      </c>
      <c r="I40" s="58">
        <f>IF(ABS(I18-I30-I38)&lt;1,0,I18-I30-I38)</f>
        <v>0</v>
      </c>
      <c r="J40" s="58">
        <f t="shared" ref="J40:M40" si="13">IF(ABS(J18-J30-J38)&lt;1,0,J18-J30-J38)</f>
        <v>0</v>
      </c>
      <c r="K40" s="58">
        <f t="shared" si="13"/>
        <v>0</v>
      </c>
      <c r="L40" s="58">
        <f t="shared" si="13"/>
        <v>0</v>
      </c>
      <c r="M40" s="58">
        <f t="shared" si="13"/>
        <v>0</v>
      </c>
    </row>
    <row r="41" spans="2:13">
      <c r="F41" s="41"/>
      <c r="G41" s="41"/>
      <c r="H41" s="41"/>
      <c r="I41" s="41"/>
      <c r="J41" s="41"/>
      <c r="K41" s="41"/>
      <c r="L41" s="41"/>
      <c r="M41" s="41"/>
    </row>
    <row r="42" spans="2:13">
      <c r="F42" s="41"/>
      <c r="G42" s="41"/>
      <c r="H42" s="41"/>
      <c r="I42" s="41"/>
      <c r="J42" s="41"/>
      <c r="K42" s="41"/>
      <c r="L42" s="41"/>
      <c r="M42" s="41"/>
    </row>
    <row r="43" spans="2:13" ht="16.5" customHeight="1">
      <c r="B43" s="31" t="s">
        <v>29</v>
      </c>
      <c r="C43" s="32"/>
      <c r="D43" s="32"/>
      <c r="E43" s="32"/>
      <c r="F43" s="32"/>
      <c r="G43" s="33"/>
      <c r="H43" s="33"/>
      <c r="I43" s="34"/>
      <c r="J43" s="34"/>
      <c r="K43" s="34"/>
      <c r="L43" s="34"/>
      <c r="M43" s="34"/>
    </row>
    <row r="44" spans="2:13">
      <c r="F44" s="41"/>
      <c r="G44" s="41"/>
      <c r="H44" s="41"/>
      <c r="I44" s="41"/>
      <c r="J44" s="41"/>
      <c r="K44" s="41"/>
      <c r="L44" s="41"/>
      <c r="M44" s="41"/>
    </row>
    <row r="45" spans="2:13">
      <c r="B45" s="35" t="s">
        <v>10</v>
      </c>
      <c r="C45" s="36"/>
      <c r="D45" s="36"/>
      <c r="E45" s="36"/>
      <c r="F45" s="37">
        <f>F$5</f>
        <v>2023</v>
      </c>
      <c r="G45" s="37">
        <f t="shared" ref="G45:M45" si="14">G$5</f>
        <v>2024</v>
      </c>
      <c r="H45" s="37">
        <f t="shared" si="14"/>
        <v>2025</v>
      </c>
      <c r="I45" s="38">
        <f t="shared" si="14"/>
        <v>2026</v>
      </c>
      <c r="J45" s="38">
        <f t="shared" si="14"/>
        <v>2027</v>
      </c>
      <c r="K45" s="38">
        <f t="shared" si="14"/>
        <v>2028</v>
      </c>
      <c r="L45" s="38">
        <f t="shared" si="14"/>
        <v>2029</v>
      </c>
      <c r="M45" s="38">
        <f t="shared" si="14"/>
        <v>2030</v>
      </c>
    </row>
    <row r="46" spans="2:13">
      <c r="F46" s="41"/>
      <c r="G46" s="41"/>
      <c r="H46" s="41"/>
      <c r="I46" s="41"/>
      <c r="J46" s="41"/>
      <c r="K46" s="41"/>
      <c r="L46" s="41"/>
      <c r="M46" s="41"/>
    </row>
    <row r="47" spans="2:13">
      <c r="B47" s="45" t="s">
        <v>30</v>
      </c>
      <c r="C47" s="46"/>
      <c r="D47" s="64"/>
      <c r="E47" s="64"/>
      <c r="F47" s="52">
        <v>28051</v>
      </c>
      <c r="G47" s="52">
        <v>31288</v>
      </c>
      <c r="H47" s="52">
        <v>30749</v>
      </c>
      <c r="I47" s="53">
        <f>I201</f>
        <v>31187.450006999999</v>
      </c>
      <c r="J47" s="53">
        <f>J201</f>
        <v>31532.291454293998</v>
      </c>
      <c r="K47" s="53">
        <f>K201</f>
        <v>31817.971625776907</v>
      </c>
      <c r="L47" s="53">
        <f>L201</f>
        <v>32111.285497850731</v>
      </c>
      <c r="M47" s="53">
        <f>M201</f>
        <v>32915.630853880619</v>
      </c>
    </row>
    <row r="48" spans="2:13">
      <c r="B48" s="47" t="s">
        <v>31</v>
      </c>
      <c r="C48" s="46"/>
      <c r="D48" s="64"/>
      <c r="E48" s="64"/>
      <c r="F48" s="52">
        <v>-14753</v>
      </c>
      <c r="G48" s="52">
        <v>-19011</v>
      </c>
      <c r="H48" s="52">
        <v>-17519</v>
      </c>
      <c r="I48" s="53">
        <f>-I225</f>
        <v>-18073.647165000002</v>
      </c>
      <c r="J48" s="53">
        <f>-J225</f>
        <v>-18556.552774199998</v>
      </c>
      <c r="K48" s="53">
        <f>-K225</f>
        <v>-18476.852480881997</v>
      </c>
      <c r="L48" s="53">
        <f>-L225</f>
        <v>-18381.583889289224</v>
      </c>
      <c r="M48" s="53">
        <f>-M225</f>
        <v>-18689.083489892742</v>
      </c>
    </row>
    <row r="49" spans="2:14">
      <c r="B49" s="50" t="s">
        <v>32</v>
      </c>
      <c r="C49" s="46"/>
      <c r="D49" s="64"/>
      <c r="E49" s="64"/>
      <c r="F49" s="59">
        <f>SUM(F47:F48)</f>
        <v>13298</v>
      </c>
      <c r="G49" s="59">
        <f t="shared" ref="G49:M49" si="15">SUM(G47:G48)</f>
        <v>12277</v>
      </c>
      <c r="H49" s="59">
        <f t="shared" si="15"/>
        <v>13230</v>
      </c>
      <c r="I49" s="56">
        <f t="shared" si="15"/>
        <v>13113.802841999997</v>
      </c>
      <c r="J49" s="56">
        <f t="shared" si="15"/>
        <v>12975.738680094</v>
      </c>
      <c r="K49" s="56">
        <f t="shared" si="15"/>
        <v>13341.11914489491</v>
      </c>
      <c r="L49" s="56">
        <f t="shared" si="15"/>
        <v>13729.701608561507</v>
      </c>
      <c r="M49" s="56">
        <f t="shared" si="15"/>
        <v>14226.547363987876</v>
      </c>
    </row>
    <row r="50" spans="2:14">
      <c r="B50" s="47"/>
      <c r="C50" s="49"/>
      <c r="D50" s="65"/>
      <c r="E50" s="64"/>
      <c r="F50" s="52"/>
      <c r="G50" s="52"/>
      <c r="H50" s="52"/>
      <c r="I50" s="53"/>
      <c r="J50" s="53"/>
      <c r="K50" s="53"/>
      <c r="L50" s="53"/>
      <c r="M50" s="53"/>
    </row>
    <row r="51" spans="2:14">
      <c r="B51" s="47" t="s">
        <v>44</v>
      </c>
      <c r="C51" s="49"/>
      <c r="D51" s="65"/>
      <c r="E51" s="64"/>
      <c r="F51" s="52">
        <v>2926</v>
      </c>
      <c r="G51" s="52">
        <v>2943</v>
      </c>
      <c r="H51" s="52">
        <v>3118</v>
      </c>
      <c r="I51" s="53">
        <f>I294</f>
        <v>3013.450668</v>
      </c>
      <c r="J51" s="53">
        <f>J294</f>
        <v>3089.5734844439999</v>
      </c>
      <c r="K51" s="53">
        <f>K294</f>
        <v>3169.6996222662119</v>
      </c>
      <c r="L51" s="53">
        <f>L294</f>
        <v>3252.5574773039343</v>
      </c>
      <c r="M51" s="53">
        <f>M294</f>
        <v>3330.5686934721894</v>
      </c>
    </row>
    <row r="52" spans="2:14">
      <c r="B52" s="47" t="s">
        <v>45</v>
      </c>
      <c r="E52" s="64"/>
      <c r="F52" s="52">
        <v>-1095</v>
      </c>
      <c r="G52" s="52">
        <v>-1184</v>
      </c>
      <c r="H52" s="52">
        <v>-1334</v>
      </c>
      <c r="I52" s="53">
        <f>I296</f>
        <v>-1205.3802671999999</v>
      </c>
      <c r="J52" s="53">
        <f>J296</f>
        <v>-1235.8293937776</v>
      </c>
      <c r="K52" s="53">
        <f>K296</f>
        <v>-1267.8798489064848</v>
      </c>
      <c r="L52" s="53">
        <f>L296</f>
        <v>-1301.0229909215739</v>
      </c>
      <c r="M52" s="53">
        <f>M296</f>
        <v>-1332.2274773888757</v>
      </c>
    </row>
    <row r="53" spans="2:14">
      <c r="B53" s="51" t="s">
        <v>46</v>
      </c>
      <c r="E53" s="64"/>
      <c r="F53" s="59">
        <f>SUM(F51:F52)</f>
        <v>1831</v>
      </c>
      <c r="G53" s="59">
        <f t="shared" ref="G53:M53" si="16">SUM(G51:G52)</f>
        <v>1759</v>
      </c>
      <c r="H53" s="59">
        <f t="shared" si="16"/>
        <v>1784</v>
      </c>
      <c r="I53" s="59">
        <f t="shared" si="16"/>
        <v>1808.0704008</v>
      </c>
      <c r="J53" s="59">
        <f t="shared" si="16"/>
        <v>1853.7440906663999</v>
      </c>
      <c r="K53" s="59">
        <f t="shared" si="16"/>
        <v>1901.8197733597272</v>
      </c>
      <c r="L53" s="59">
        <f t="shared" si="16"/>
        <v>1951.5344863823605</v>
      </c>
      <c r="M53" s="59">
        <f t="shared" si="16"/>
        <v>1998.3412160833136</v>
      </c>
    </row>
    <row r="54" spans="2:14">
      <c r="B54" s="27"/>
      <c r="F54" s="57"/>
      <c r="G54" s="57"/>
      <c r="H54" s="57"/>
      <c r="I54" s="57"/>
      <c r="J54" s="57"/>
      <c r="K54" s="57"/>
      <c r="L54" s="57"/>
      <c r="M54" s="57"/>
    </row>
    <row r="55" spans="2:14">
      <c r="B55" s="39" t="s">
        <v>47</v>
      </c>
      <c r="C55" s="41"/>
      <c r="F55" s="52">
        <v>1307</v>
      </c>
      <c r="G55" s="52">
        <v>1812</v>
      </c>
      <c r="H55" s="52">
        <v>1485</v>
      </c>
      <c r="I55" s="53">
        <f>I298</f>
        <v>1559.25</v>
      </c>
      <c r="J55" s="53">
        <f>J298</f>
        <v>1637.2125000000001</v>
      </c>
      <c r="K55" s="53">
        <f>K298</f>
        <v>1719.0731250000001</v>
      </c>
      <c r="L55" s="53">
        <f>L298</f>
        <v>1805.0267812500001</v>
      </c>
      <c r="M55" s="53">
        <f>M298</f>
        <v>1895.2781203125003</v>
      </c>
    </row>
    <row r="56" spans="2:14">
      <c r="B56" s="39" t="s">
        <v>48</v>
      </c>
      <c r="C56" s="41"/>
      <c r="F56" s="52">
        <v>3010</v>
      </c>
      <c r="G56" s="52">
        <v>3291</v>
      </c>
      <c r="H56" s="52">
        <v>3438</v>
      </c>
      <c r="I56" s="53">
        <f>I300</f>
        <v>3575.52</v>
      </c>
      <c r="J56" s="53">
        <f>J300</f>
        <v>3718.5408000000002</v>
      </c>
      <c r="K56" s="53">
        <f>K300</f>
        <v>3867.2824320000004</v>
      </c>
      <c r="L56" s="53">
        <f>L300</f>
        <v>4021.9737292800005</v>
      </c>
      <c r="M56" s="53">
        <f>M300</f>
        <v>4182.8526784512005</v>
      </c>
    </row>
    <row r="57" spans="2:14">
      <c r="B57" s="39" t="s">
        <v>49</v>
      </c>
      <c r="C57" s="41"/>
      <c r="F57" s="52">
        <v>-2414</v>
      </c>
      <c r="G57" s="52">
        <v>-2805</v>
      </c>
      <c r="H57" s="52">
        <v>-2543</v>
      </c>
      <c r="I57" s="53">
        <f>I302</f>
        <v>-2860.4160000000002</v>
      </c>
      <c r="J57" s="53">
        <f>J302</f>
        <v>-2974.8326400000005</v>
      </c>
      <c r="K57" s="53">
        <f>K302</f>
        <v>-3093.8259456000005</v>
      </c>
      <c r="L57" s="53">
        <f>L302</f>
        <v>-3217.5789834240004</v>
      </c>
      <c r="M57" s="53">
        <f>M302</f>
        <v>-3346.2821427609606</v>
      </c>
    </row>
    <row r="58" spans="2:14">
      <c r="B58" s="39" t="s">
        <v>51</v>
      </c>
      <c r="C58" s="41"/>
      <c r="F58" s="52">
        <v>-34</v>
      </c>
      <c r="G58" s="52">
        <v>-265</v>
      </c>
      <c r="H58" s="52">
        <v>-200</v>
      </c>
      <c r="I58" s="52">
        <v>200</v>
      </c>
      <c r="J58" s="52">
        <v>200</v>
      </c>
      <c r="K58" s="52">
        <v>200</v>
      </c>
      <c r="L58" s="52">
        <v>100</v>
      </c>
      <c r="M58" s="52">
        <v>0</v>
      </c>
    </row>
    <row r="59" spans="2:14">
      <c r="B59" s="39" t="s">
        <v>50</v>
      </c>
      <c r="C59" s="28"/>
      <c r="D59" s="27"/>
      <c r="F59" s="52">
        <v>1631</v>
      </c>
      <c r="G59" s="52">
        <v>1934</v>
      </c>
      <c r="H59" s="52">
        <v>2228</v>
      </c>
      <c r="I59" s="52">
        <v>2000</v>
      </c>
      <c r="J59" s="52">
        <v>2000</v>
      </c>
      <c r="K59" s="52">
        <v>1800</v>
      </c>
      <c r="L59" s="52">
        <v>1600</v>
      </c>
      <c r="M59" s="52">
        <v>1400</v>
      </c>
    </row>
    <row r="60" spans="2:14">
      <c r="B60" s="51" t="s">
        <v>60</v>
      </c>
      <c r="C60" s="41"/>
      <c r="F60" s="60">
        <f>SUM(F55:F59)</f>
        <v>3500</v>
      </c>
      <c r="G60" s="60">
        <f t="shared" ref="G60:M60" si="17">SUM(G55:G59)</f>
        <v>3967</v>
      </c>
      <c r="H60" s="60">
        <f t="shared" si="17"/>
        <v>4408</v>
      </c>
      <c r="I60" s="54">
        <f t="shared" si="17"/>
        <v>4474.3540000000003</v>
      </c>
      <c r="J60" s="54">
        <f t="shared" si="17"/>
        <v>4580.9206599999998</v>
      </c>
      <c r="K60" s="54">
        <f t="shared" si="17"/>
        <v>4492.5296114000002</v>
      </c>
      <c r="L60" s="54">
        <f t="shared" si="17"/>
        <v>4309.4215271060002</v>
      </c>
      <c r="M60" s="54">
        <f t="shared" si="17"/>
        <v>4131.8486560027404</v>
      </c>
      <c r="N60" s="63" t="s">
        <v>2</v>
      </c>
    </row>
    <row r="61" spans="2:14">
      <c r="F61" s="41"/>
      <c r="G61" s="41"/>
      <c r="H61" s="41"/>
      <c r="I61" s="41"/>
      <c r="J61" s="41"/>
      <c r="K61" s="41"/>
      <c r="L61" s="41"/>
      <c r="M61" s="41"/>
    </row>
    <row r="62" spans="2:14">
      <c r="B62" s="51" t="s">
        <v>59</v>
      </c>
      <c r="F62" s="61">
        <f>F49+F53+F60</f>
        <v>18629</v>
      </c>
      <c r="G62" s="61">
        <f t="shared" ref="G62:M62" si="18">G49+G53+G60</f>
        <v>18003</v>
      </c>
      <c r="H62" s="61">
        <f t="shared" si="18"/>
        <v>19422</v>
      </c>
      <c r="I62" s="61">
        <f t="shared" si="18"/>
        <v>19396.227242799996</v>
      </c>
      <c r="J62" s="61">
        <f t="shared" si="18"/>
        <v>19410.403430760402</v>
      </c>
      <c r="K62" s="61">
        <f t="shared" si="18"/>
        <v>19735.468529654638</v>
      </c>
      <c r="L62" s="61">
        <f t="shared" si="18"/>
        <v>19990.657622049868</v>
      </c>
      <c r="M62" s="61">
        <f t="shared" si="18"/>
        <v>20356.737236073932</v>
      </c>
    </row>
    <row r="63" spans="2:14">
      <c r="F63" s="53"/>
      <c r="G63" s="53"/>
      <c r="H63" s="53"/>
      <c r="I63" s="53"/>
      <c r="J63" s="53"/>
      <c r="K63" s="53"/>
      <c r="L63" s="53"/>
      <c r="M63" s="53"/>
    </row>
    <row r="64" spans="2:14">
      <c r="B64" s="39" t="s">
        <v>52</v>
      </c>
      <c r="C64" s="41"/>
      <c r="F64" s="52">
        <v>-4707</v>
      </c>
      <c r="G64" s="52">
        <v>-4672</v>
      </c>
      <c r="H64" s="52">
        <v>-4493</v>
      </c>
      <c r="I64" s="53">
        <f>I306</f>
        <v>-4537.93</v>
      </c>
      <c r="J64" s="53">
        <f>J306</f>
        <v>-4583.3092999999999</v>
      </c>
      <c r="K64" s="53">
        <f>K306</f>
        <v>-4583.3092999999999</v>
      </c>
      <c r="L64" s="53">
        <f>L306</f>
        <v>-4583.3092999999999</v>
      </c>
      <c r="M64" s="53">
        <f>M306</f>
        <v>-4537.4762069999997</v>
      </c>
    </row>
    <row r="65" spans="2:13">
      <c r="B65" s="39" t="s">
        <v>53</v>
      </c>
      <c r="C65" s="41"/>
      <c r="F65" s="52">
        <v>-449</v>
      </c>
      <c r="G65" s="52">
        <v>-454</v>
      </c>
      <c r="H65" s="52">
        <v>-503</v>
      </c>
      <c r="I65" s="52">
        <v>-500</v>
      </c>
      <c r="J65" s="52">
        <v>-500</v>
      </c>
      <c r="K65" s="52">
        <v>-500</v>
      </c>
      <c r="L65" s="52">
        <v>-500</v>
      </c>
      <c r="M65" s="52">
        <v>-500</v>
      </c>
    </row>
    <row r="66" spans="2:13">
      <c r="B66" s="39" t="s">
        <v>54</v>
      </c>
      <c r="C66" s="41"/>
      <c r="F66" s="52">
        <v>-2905</v>
      </c>
      <c r="G66" s="52">
        <v>-3426</v>
      </c>
      <c r="H66" s="52">
        <v>-3477</v>
      </c>
      <c r="I66" s="53">
        <f>-I233</f>
        <v>-3600</v>
      </c>
      <c r="J66" s="53">
        <f>-J233</f>
        <v>-3900</v>
      </c>
      <c r="K66" s="53">
        <f>-K233</f>
        <v>-3600</v>
      </c>
      <c r="L66" s="53">
        <f>-L233</f>
        <v>-3400</v>
      </c>
      <c r="M66" s="53">
        <f>-M233</f>
        <v>-2800</v>
      </c>
    </row>
    <row r="67" spans="2:13">
      <c r="B67" s="39" t="s">
        <v>55</v>
      </c>
      <c r="F67" s="52">
        <v>-675</v>
      </c>
      <c r="G67" s="52">
        <v>-899</v>
      </c>
      <c r="H67" s="52">
        <v>-675</v>
      </c>
      <c r="I67" s="52">
        <v>-675</v>
      </c>
      <c r="J67" s="52">
        <v>-675</v>
      </c>
      <c r="K67" s="52">
        <v>-675</v>
      </c>
      <c r="L67" s="52">
        <v>-675</v>
      </c>
      <c r="M67" s="52">
        <v>-675</v>
      </c>
    </row>
    <row r="68" spans="2:13">
      <c r="B68" s="39" t="s">
        <v>56</v>
      </c>
      <c r="F68" s="52">
        <v>-2720</v>
      </c>
      <c r="G68" s="52">
        <v>-2594</v>
      </c>
      <c r="H68" s="52">
        <v>-2786</v>
      </c>
      <c r="I68" s="52">
        <v>-2500</v>
      </c>
      <c r="J68" s="52">
        <v>-2500</v>
      </c>
      <c r="K68" s="52">
        <v>-2500</v>
      </c>
      <c r="L68" s="52">
        <v>-2500</v>
      </c>
      <c r="M68" s="52">
        <v>-2500</v>
      </c>
    </row>
    <row r="69" spans="2:13">
      <c r="B69" s="39" t="s">
        <v>57</v>
      </c>
      <c r="F69" s="52">
        <v>633</v>
      </c>
      <c r="G69" s="52">
        <v>444</v>
      </c>
      <c r="H69" s="52">
        <v>-32</v>
      </c>
      <c r="I69" s="52">
        <v>200</v>
      </c>
      <c r="J69" s="52">
        <v>200</v>
      </c>
      <c r="K69" s="52">
        <v>200</v>
      </c>
      <c r="L69" s="52">
        <v>100</v>
      </c>
      <c r="M69" s="52">
        <v>0</v>
      </c>
    </row>
    <row r="70" spans="2:13">
      <c r="B70" s="51" t="s">
        <v>58</v>
      </c>
      <c r="F70" s="59">
        <f>SUM(F64:F69)</f>
        <v>-10823</v>
      </c>
      <c r="G70" s="59">
        <f t="shared" ref="G70:M70" si="19">SUM(G64:G69)</f>
        <v>-11601</v>
      </c>
      <c r="H70" s="59">
        <f t="shared" si="19"/>
        <v>-11966</v>
      </c>
      <c r="I70" s="59">
        <f t="shared" si="19"/>
        <v>-11612.93</v>
      </c>
      <c r="J70" s="59">
        <f t="shared" si="19"/>
        <v>-11958.309300000001</v>
      </c>
      <c r="K70" s="59">
        <f t="shared" si="19"/>
        <v>-11658.309300000001</v>
      </c>
      <c r="L70" s="59">
        <f t="shared" si="19"/>
        <v>-11558.309300000001</v>
      </c>
      <c r="M70" s="59">
        <f t="shared" si="19"/>
        <v>-11012.476207</v>
      </c>
    </row>
    <row r="71" spans="2:13">
      <c r="B71" s="40"/>
      <c r="F71" s="53"/>
      <c r="G71" s="53"/>
      <c r="H71" s="53"/>
      <c r="I71" s="53"/>
      <c r="J71" s="53"/>
      <c r="K71" s="53"/>
      <c r="L71" s="53"/>
      <c r="M71" s="53"/>
    </row>
    <row r="72" spans="2:13">
      <c r="B72" s="40" t="s">
        <v>61</v>
      </c>
      <c r="F72" s="52">
        <v>-303</v>
      </c>
      <c r="G72" s="52">
        <v>-431</v>
      </c>
      <c r="H72" s="52">
        <v>-795</v>
      </c>
      <c r="I72" s="52">
        <v>-600</v>
      </c>
      <c r="J72" s="52">
        <v>-600</v>
      </c>
      <c r="K72" s="52">
        <v>-600</v>
      </c>
      <c r="L72" s="52">
        <v>-600</v>
      </c>
      <c r="M72" s="52">
        <v>-600</v>
      </c>
    </row>
    <row r="73" spans="2:13">
      <c r="B73" s="51" t="s">
        <v>62</v>
      </c>
      <c r="C73" s="27"/>
      <c r="F73" s="53">
        <f>F62+F70+F72</f>
        <v>7503</v>
      </c>
      <c r="G73" s="53">
        <f t="shared" ref="G73:M73" si="20">G62+G70+G72</f>
        <v>5971</v>
      </c>
      <c r="H73" s="53">
        <f t="shared" si="20"/>
        <v>6661</v>
      </c>
      <c r="I73" s="53">
        <f t="shared" si="20"/>
        <v>7183.2972427999957</v>
      </c>
      <c r="J73" s="53">
        <f t="shared" si="20"/>
        <v>6852.0941307604007</v>
      </c>
      <c r="K73" s="53">
        <f t="shared" si="20"/>
        <v>7477.1592296546369</v>
      </c>
      <c r="L73" s="53">
        <f t="shared" si="20"/>
        <v>7832.3483220498674</v>
      </c>
      <c r="M73" s="53">
        <f t="shared" si="20"/>
        <v>8744.2610290739321</v>
      </c>
    </row>
    <row r="74" spans="2:13">
      <c r="B74" s="39" t="s">
        <v>63</v>
      </c>
      <c r="F74" s="52">
        <v>-1985</v>
      </c>
      <c r="G74" s="52">
        <v>-1494</v>
      </c>
      <c r="H74" s="52">
        <v>-1904</v>
      </c>
      <c r="I74" s="53">
        <f>-I242</f>
        <v>-1867.6572831279989</v>
      </c>
      <c r="J74" s="53">
        <f>-J242</f>
        <v>-1781.5444739977042</v>
      </c>
      <c r="K74" s="53">
        <f>-K242</f>
        <v>-1944.0613997102057</v>
      </c>
      <c r="L74" s="53">
        <f>-L242</f>
        <v>-2036.4105637329656</v>
      </c>
      <c r="M74" s="53">
        <f>-M242</f>
        <v>-2273.5078675592226</v>
      </c>
    </row>
    <row r="75" spans="2:13">
      <c r="B75" s="51" t="s">
        <v>64</v>
      </c>
      <c r="C75" s="27"/>
      <c r="F75" s="56">
        <f>SUM(F73,F74)</f>
        <v>5518</v>
      </c>
      <c r="G75" s="56">
        <f t="shared" ref="G75:M75" si="21">SUM(G73,G74)</f>
        <v>4477</v>
      </c>
      <c r="H75" s="56">
        <f t="shared" si="21"/>
        <v>4757</v>
      </c>
      <c r="I75" s="56">
        <f t="shared" si="21"/>
        <v>5315.6399596719966</v>
      </c>
      <c r="J75" s="56">
        <f t="shared" si="21"/>
        <v>5070.549656762696</v>
      </c>
      <c r="K75" s="56">
        <f t="shared" si="21"/>
        <v>5533.0978299444314</v>
      </c>
      <c r="L75" s="56">
        <f t="shared" si="21"/>
        <v>5795.9377583169016</v>
      </c>
      <c r="M75" s="56">
        <f t="shared" si="21"/>
        <v>6470.7531615147091</v>
      </c>
    </row>
    <row r="76" spans="2:13">
      <c r="F76" s="41"/>
      <c r="G76" s="41"/>
      <c r="H76" s="41"/>
      <c r="I76" s="41"/>
      <c r="J76" s="41"/>
      <c r="K76" s="41"/>
      <c r="L76" s="41"/>
      <c r="M76" s="41"/>
    </row>
    <row r="77" spans="2:13">
      <c r="B77" s="39" t="s">
        <v>65</v>
      </c>
      <c r="F77" s="52">
        <v>1651</v>
      </c>
      <c r="G77" s="52">
        <v>1828</v>
      </c>
      <c r="H77" s="52">
        <v>2000</v>
      </c>
      <c r="I77" s="53">
        <f>I284</f>
        <v>2126.2559838687989</v>
      </c>
      <c r="J77" s="53">
        <f>J284</f>
        <v>2129.6308558403321</v>
      </c>
      <c r="K77" s="53">
        <f>K284</f>
        <v>2489.8940234749944</v>
      </c>
      <c r="L77" s="53">
        <f>L284</f>
        <v>2608.1719912426056</v>
      </c>
      <c r="M77" s="53">
        <f>M284</f>
        <v>2911.8389226816194</v>
      </c>
    </row>
    <row r="78" spans="2:13">
      <c r="B78" s="39" t="s">
        <v>66</v>
      </c>
      <c r="F78" s="52">
        <v>1710</v>
      </c>
      <c r="G78" s="52">
        <v>2011</v>
      </c>
      <c r="H78" s="52">
        <v>1993</v>
      </c>
      <c r="I78" s="53">
        <f>I287</f>
        <v>1692.0301999999938</v>
      </c>
      <c r="J78" s="53">
        <f>J287</f>
        <v>1526.4218518031994</v>
      </c>
      <c r="K78" s="53">
        <f>K287</f>
        <v>1915.0728734335644</v>
      </c>
      <c r="L78" s="53">
        <f>L287</f>
        <v>3026.3771006840907</v>
      </c>
      <c r="M78" s="53">
        <f>M287</f>
        <v>3362.7220769377527</v>
      </c>
    </row>
    <row r="79" spans="2:13">
      <c r="F79" s="41"/>
      <c r="G79" s="41"/>
      <c r="H79" s="41"/>
      <c r="I79" s="41"/>
      <c r="J79" s="41"/>
      <c r="K79" s="41"/>
      <c r="L79" s="41"/>
      <c r="M79" s="41"/>
    </row>
    <row r="80" spans="2:13">
      <c r="F80" s="41"/>
      <c r="G80" s="41"/>
      <c r="H80" s="41"/>
      <c r="I80" s="41"/>
      <c r="J80" s="41"/>
      <c r="K80" s="41"/>
      <c r="L80" s="41"/>
      <c r="M80" s="41"/>
    </row>
    <row r="81" spans="2:13" ht="16.5" customHeight="1">
      <c r="B81" s="31" t="s">
        <v>67</v>
      </c>
      <c r="C81" s="32"/>
      <c r="D81" s="32"/>
      <c r="E81" s="32"/>
      <c r="F81" s="32"/>
      <c r="G81" s="33"/>
      <c r="H81" s="33"/>
      <c r="I81" s="34"/>
      <c r="J81" s="34"/>
      <c r="K81" s="34"/>
      <c r="L81" s="34"/>
      <c r="M81" s="34"/>
    </row>
    <row r="82" spans="2:13">
      <c r="F82" s="41"/>
      <c r="G82" s="41"/>
      <c r="H82" s="41"/>
      <c r="I82" s="41"/>
      <c r="J82" s="41"/>
      <c r="K82" s="41"/>
      <c r="L82" s="41"/>
      <c r="M82" s="41"/>
    </row>
    <row r="83" spans="2:13">
      <c r="B83" s="35" t="s">
        <v>10</v>
      </c>
      <c r="C83" s="36"/>
      <c r="D83" s="36"/>
      <c r="E83" s="36"/>
      <c r="F83" s="37">
        <f>F$5</f>
        <v>2023</v>
      </c>
      <c r="G83" s="37">
        <f t="shared" ref="G83:M83" si="22">G$5</f>
        <v>2024</v>
      </c>
      <c r="H83" s="37">
        <f t="shared" si="22"/>
        <v>2025</v>
      </c>
      <c r="I83" s="38">
        <f t="shared" si="22"/>
        <v>2026</v>
      </c>
      <c r="J83" s="38">
        <f t="shared" si="22"/>
        <v>2027</v>
      </c>
      <c r="K83" s="38">
        <f t="shared" si="22"/>
        <v>2028</v>
      </c>
      <c r="L83" s="38">
        <f t="shared" si="22"/>
        <v>2029</v>
      </c>
      <c r="M83" s="38">
        <f t="shared" si="22"/>
        <v>2030</v>
      </c>
    </row>
    <row r="84" spans="2:13">
      <c r="F84" s="41"/>
      <c r="G84" s="41"/>
      <c r="H84" s="41"/>
      <c r="I84" s="41"/>
      <c r="J84" s="41"/>
      <c r="K84" s="41"/>
      <c r="L84" s="41"/>
      <c r="M84" s="41"/>
    </row>
    <row r="85" spans="2:13">
      <c r="B85" s="27" t="s">
        <v>177</v>
      </c>
      <c r="F85" s="41"/>
      <c r="G85" s="41"/>
      <c r="H85" s="41"/>
      <c r="I85" s="41"/>
      <c r="J85" s="41"/>
      <c r="K85" s="41"/>
      <c r="L85" s="41"/>
      <c r="M85" s="41"/>
    </row>
    <row r="86" spans="2:13">
      <c r="B86" s="39" t="s">
        <v>62</v>
      </c>
      <c r="C86" s="41"/>
      <c r="D86" s="41"/>
      <c r="E86" s="41"/>
      <c r="F86" s="52">
        <f>F73</f>
        <v>7503</v>
      </c>
      <c r="G86" s="52">
        <f>G73</f>
        <v>5971</v>
      </c>
      <c r="H86" s="52">
        <f>H73</f>
        <v>6661</v>
      </c>
      <c r="I86" s="53">
        <f>I73</f>
        <v>7183.2972427999957</v>
      </c>
      <c r="J86" s="53">
        <f t="shared" ref="J86:M86" si="23">J73</f>
        <v>6852.0941307604007</v>
      </c>
      <c r="K86" s="53">
        <f t="shared" si="23"/>
        <v>7477.1592296546369</v>
      </c>
      <c r="L86" s="53">
        <f t="shared" si="23"/>
        <v>7832.3483220498674</v>
      </c>
      <c r="M86" s="53">
        <f t="shared" si="23"/>
        <v>8744.2610290739321</v>
      </c>
    </row>
    <row r="87" spans="2:13">
      <c r="B87" s="39" t="s">
        <v>71</v>
      </c>
      <c r="C87" s="41"/>
      <c r="D87" s="41"/>
      <c r="E87" s="41"/>
      <c r="F87" s="52">
        <v>-9110</v>
      </c>
      <c r="G87" s="52">
        <v>-39622</v>
      </c>
      <c r="H87" s="52">
        <v>-40689</v>
      </c>
      <c r="I87" s="53">
        <f>-(I189-H189)</f>
        <v>-14405.777999999991</v>
      </c>
      <c r="J87" s="53">
        <f>-(J189-I189)</f>
        <v>-12687.13607399998</v>
      </c>
      <c r="K87" s="53">
        <f>-(K189-J189)</f>
        <v>-13354.356303701992</v>
      </c>
      <c r="L87" s="53">
        <f>-(L189-K189)</f>
        <v>-13809.642506287084</v>
      </c>
      <c r="M87" s="53">
        <f>-(M189-L189)</f>
        <v>-13001.869361375808</v>
      </c>
    </row>
    <row r="88" spans="2:13">
      <c r="B88" s="39" t="s">
        <v>72</v>
      </c>
      <c r="C88" s="41"/>
      <c r="D88" s="41"/>
      <c r="E88" s="41"/>
      <c r="F88" s="52">
        <v>4232</v>
      </c>
      <c r="G88" s="52">
        <v>23603</v>
      </c>
      <c r="H88" s="52">
        <v>35403</v>
      </c>
      <c r="I88" s="53">
        <f>I214-H214</f>
        <v>14110.918999999994</v>
      </c>
      <c r="J88" s="53">
        <f>J214-I214</f>
        <v>13797.303119999939</v>
      </c>
      <c r="K88" s="53">
        <f>K214-J214</f>
        <v>13249.615552999894</v>
      </c>
      <c r="L88" s="53">
        <f>L214-K214</f>
        <v>13580.855941825081</v>
      </c>
      <c r="M88" s="53">
        <f>M214-L214</f>
        <v>9318.1697152581764</v>
      </c>
    </row>
    <row r="89" spans="2:13">
      <c r="B89" s="39" t="s">
        <v>68</v>
      </c>
      <c r="C89" s="41"/>
      <c r="D89" s="41"/>
      <c r="E89" s="41"/>
      <c r="F89" s="52">
        <v>5622</v>
      </c>
      <c r="G89" s="52">
        <v>5990</v>
      </c>
      <c r="H89" s="52">
        <v>6431</v>
      </c>
      <c r="I89" s="53">
        <f>I315</f>
        <v>6278.0222250000006</v>
      </c>
      <c r="J89" s="53">
        <f>J315</f>
        <v>6436.6114259249998</v>
      </c>
      <c r="K89" s="53">
        <f>K315</f>
        <v>6603.5408797212749</v>
      </c>
      <c r="L89" s="53">
        <f>L315</f>
        <v>6776.1614110498631</v>
      </c>
      <c r="M89" s="53">
        <f>M315</f>
        <v>6938.6847780670614</v>
      </c>
    </row>
    <row r="90" spans="2:13">
      <c r="B90" s="39" t="s">
        <v>70</v>
      </c>
      <c r="C90" s="41"/>
      <c r="D90" s="41"/>
      <c r="E90" s="41"/>
      <c r="F90" s="52">
        <v>1437</v>
      </c>
      <c r="G90" s="52">
        <v>1305</v>
      </c>
      <c r="H90" s="52">
        <v>2305</v>
      </c>
      <c r="I90" s="53">
        <f>-I74</f>
        <v>1867.6572831279989</v>
      </c>
      <c r="J90" s="53">
        <f t="shared" ref="J90:M90" si="24">-J74</f>
        <v>1781.5444739977042</v>
      </c>
      <c r="K90" s="53">
        <f t="shared" si="24"/>
        <v>1944.0613997102057</v>
      </c>
      <c r="L90" s="53">
        <f t="shared" si="24"/>
        <v>2036.4105637329656</v>
      </c>
      <c r="M90" s="53">
        <f t="shared" si="24"/>
        <v>2273.5078675592226</v>
      </c>
    </row>
    <row r="91" spans="2:13">
      <c r="B91" s="39" t="s">
        <v>69</v>
      </c>
      <c r="C91" s="41"/>
      <c r="D91" s="41"/>
      <c r="E91" s="41"/>
      <c r="F91" s="52">
        <v>0</v>
      </c>
      <c r="G91" s="52">
        <v>970</v>
      </c>
      <c r="H91" s="52">
        <v>200</v>
      </c>
      <c r="I91" s="52">
        <v>0</v>
      </c>
      <c r="J91" s="52">
        <v>0</v>
      </c>
      <c r="K91" s="52">
        <v>0</v>
      </c>
      <c r="L91" s="52">
        <v>0</v>
      </c>
      <c r="M91" s="52">
        <v>0</v>
      </c>
    </row>
    <row r="92" spans="2:13">
      <c r="B92" s="28" t="s">
        <v>78</v>
      </c>
      <c r="C92" s="41"/>
      <c r="D92" s="41"/>
      <c r="E92" s="41"/>
      <c r="F92" s="54">
        <f>SUM(F86:F89)-F90+F91</f>
        <v>6810</v>
      </c>
      <c r="G92" s="54">
        <f t="shared" ref="G92:M92" si="25">SUM(G86:G89)-G90+G91</f>
        <v>-4393</v>
      </c>
      <c r="H92" s="54">
        <f t="shared" si="25"/>
        <v>5701</v>
      </c>
      <c r="I92" s="54">
        <f t="shared" si="25"/>
        <v>11298.803184672</v>
      </c>
      <c r="J92" s="54">
        <f t="shared" si="25"/>
        <v>12617.328128687654</v>
      </c>
      <c r="K92" s="54">
        <f t="shared" si="25"/>
        <v>12031.897958963607</v>
      </c>
      <c r="L92" s="54">
        <f t="shared" si="25"/>
        <v>12343.312604904762</v>
      </c>
      <c r="M92" s="54">
        <f t="shared" si="25"/>
        <v>9725.7382934641391</v>
      </c>
    </row>
    <row r="93" spans="2:13">
      <c r="F93" s="41"/>
      <c r="G93" s="41"/>
      <c r="H93" s="41"/>
      <c r="I93" s="41"/>
      <c r="J93" s="41"/>
      <c r="K93" s="41"/>
      <c r="L93" s="41"/>
      <c r="M93" s="41"/>
    </row>
    <row r="94" spans="2:13">
      <c r="B94" s="27" t="s">
        <v>73</v>
      </c>
      <c r="F94" s="53"/>
      <c r="G94" s="41"/>
      <c r="H94" s="41"/>
      <c r="I94" s="53"/>
      <c r="J94" s="41"/>
      <c r="K94" s="41"/>
      <c r="L94" s="41"/>
      <c r="M94" s="41"/>
    </row>
    <row r="95" spans="2:13">
      <c r="B95" s="39" t="s">
        <v>74</v>
      </c>
      <c r="C95" s="41"/>
      <c r="D95" s="41"/>
      <c r="E95" s="41"/>
      <c r="F95" s="52">
        <v>-10311</v>
      </c>
      <c r="G95" s="52">
        <v>-10518</v>
      </c>
      <c r="H95" s="52">
        <v>-19762</v>
      </c>
      <c r="I95" s="53">
        <f>I319</f>
        <v>-20453.669999999998</v>
      </c>
      <c r="J95" s="53">
        <f>J319</f>
        <v>-21169.548449999995</v>
      </c>
      <c r="K95" s="53">
        <f>K319</f>
        <v>-21910.482645749991</v>
      </c>
      <c r="L95" s="53">
        <f>L319</f>
        <v>-22677.349538351238</v>
      </c>
      <c r="M95" s="53">
        <f>M319</f>
        <v>-23471.056772193529</v>
      </c>
    </row>
    <row r="96" spans="2:13">
      <c r="B96" s="39" t="s">
        <v>80</v>
      </c>
      <c r="C96" s="41"/>
      <c r="D96" s="41"/>
      <c r="E96" s="41"/>
      <c r="F96" s="52">
        <v>5298</v>
      </c>
      <c r="G96" s="52">
        <v>7062</v>
      </c>
      <c r="H96" s="52">
        <v>14309</v>
      </c>
      <c r="I96" s="53">
        <f>I321</f>
        <v>13879.73</v>
      </c>
      <c r="J96" s="53">
        <f>J321</f>
        <v>13393.93945</v>
      </c>
      <c r="K96" s="53">
        <f>K321</f>
        <v>13126.060661</v>
      </c>
      <c r="L96" s="53">
        <f>L321</f>
        <v>13126.060661</v>
      </c>
      <c r="M96" s="53">
        <f>M321</f>
        <v>13388.581874219999</v>
      </c>
    </row>
    <row r="97" spans="2:13">
      <c r="B97" s="39" t="s">
        <v>75</v>
      </c>
      <c r="C97" s="41"/>
      <c r="D97" s="41"/>
      <c r="E97" s="41"/>
      <c r="F97" s="52">
        <v>-3961</v>
      </c>
      <c r="G97" s="52">
        <v>-4364</v>
      </c>
      <c r="H97" s="52">
        <v>-5071</v>
      </c>
      <c r="I97" s="53">
        <f>I323</f>
        <v>-5248.4849999999997</v>
      </c>
      <c r="J97" s="53">
        <f>J323</f>
        <v>-5432.1819749999995</v>
      </c>
      <c r="K97" s="53">
        <f>K323</f>
        <v>-5622.3083441249992</v>
      </c>
      <c r="L97" s="53">
        <f>L323</f>
        <v>-5819.0891361693739</v>
      </c>
      <c r="M97" s="53">
        <f>M323</f>
        <v>-6022.7572559353011</v>
      </c>
    </row>
    <row r="98" spans="2:13">
      <c r="B98" s="39" t="s">
        <v>76</v>
      </c>
      <c r="C98" s="41"/>
      <c r="D98" s="41"/>
      <c r="E98" s="41"/>
      <c r="F98" s="52">
        <v>-1494</v>
      </c>
      <c r="G98" s="52">
        <v>-1259</v>
      </c>
      <c r="H98" s="52">
        <v>-1252</v>
      </c>
      <c r="I98" s="53">
        <f>I325</f>
        <v>-1252</v>
      </c>
      <c r="J98" s="53">
        <f>J325</f>
        <v>-1239.48</v>
      </c>
      <c r="K98" s="53">
        <f>K325</f>
        <v>-1239.48</v>
      </c>
      <c r="L98" s="53">
        <f>L325</f>
        <v>-1251.8748000000001</v>
      </c>
      <c r="M98" s="53">
        <f>M325</f>
        <v>-1276.912296</v>
      </c>
    </row>
    <row r="99" spans="2:13">
      <c r="B99" s="39" t="s">
        <v>79</v>
      </c>
      <c r="C99" s="41"/>
      <c r="D99" s="41"/>
      <c r="E99" s="41"/>
      <c r="F99" s="52">
        <v>1027</v>
      </c>
      <c r="G99" s="52">
        <v>1505</v>
      </c>
      <c r="H99" s="52">
        <v>1560</v>
      </c>
      <c r="I99" s="53">
        <f>I327</f>
        <v>1614.6</v>
      </c>
      <c r="J99" s="53">
        <f>J327</f>
        <v>1671.1109999999999</v>
      </c>
      <c r="K99" s="53">
        <f>K327</f>
        <v>1729.5998849999996</v>
      </c>
      <c r="L99" s="53">
        <f>L327</f>
        <v>1790.1358809749995</v>
      </c>
      <c r="M99" s="53">
        <f>M327</f>
        <v>1852.7906368091244</v>
      </c>
    </row>
    <row r="100" spans="2:13">
      <c r="B100" s="39" t="s">
        <v>82</v>
      </c>
      <c r="C100" s="41"/>
      <c r="D100" s="41"/>
      <c r="E100" s="41"/>
      <c r="F100" s="52">
        <v>0</v>
      </c>
      <c r="G100" s="52">
        <v>62</v>
      </c>
      <c r="H100" s="52">
        <v>0</v>
      </c>
      <c r="I100" s="52">
        <v>0</v>
      </c>
      <c r="J100" s="52">
        <v>0</v>
      </c>
      <c r="K100" s="52">
        <v>0</v>
      </c>
      <c r="L100" s="52">
        <v>0</v>
      </c>
      <c r="M100" s="52">
        <v>0</v>
      </c>
    </row>
    <row r="101" spans="2:13">
      <c r="B101" s="39" t="s">
        <v>81</v>
      </c>
      <c r="C101" s="41"/>
      <c r="D101" s="41"/>
      <c r="E101" s="41"/>
      <c r="F101" s="52">
        <v>-380</v>
      </c>
      <c r="G101" s="52">
        <v>-179</v>
      </c>
      <c r="H101" s="52">
        <v>27</v>
      </c>
      <c r="I101" s="52">
        <v>-100</v>
      </c>
      <c r="J101" s="52">
        <v>-100</v>
      </c>
      <c r="K101" s="52">
        <v>-100</v>
      </c>
      <c r="L101" s="52">
        <v>-100</v>
      </c>
      <c r="M101" s="52">
        <v>-100</v>
      </c>
    </row>
    <row r="102" spans="2:13">
      <c r="B102" s="28" t="s">
        <v>77</v>
      </c>
      <c r="C102" s="28"/>
      <c r="D102" s="28"/>
      <c r="E102" s="28"/>
      <c r="F102" s="54">
        <f>SUM(F95:F101)</f>
        <v>-9821</v>
      </c>
      <c r="G102" s="54">
        <f t="shared" ref="G102:M102" si="26">SUM(G95:G101)</f>
        <v>-7691</v>
      </c>
      <c r="H102" s="54">
        <f t="shared" si="26"/>
        <v>-10189</v>
      </c>
      <c r="I102" s="54">
        <f t="shared" si="26"/>
        <v>-11559.824999999999</v>
      </c>
      <c r="J102" s="54">
        <f t="shared" si="26"/>
        <v>-12876.159974999995</v>
      </c>
      <c r="K102" s="54">
        <f t="shared" si="26"/>
        <v>-14016.61044387499</v>
      </c>
      <c r="L102" s="54">
        <f t="shared" si="26"/>
        <v>-14932.116932545612</v>
      </c>
      <c r="M102" s="54">
        <f t="shared" si="26"/>
        <v>-15629.353813099708</v>
      </c>
    </row>
    <row r="103" spans="2:13">
      <c r="F103" s="41"/>
      <c r="G103" s="41"/>
      <c r="H103" s="41"/>
      <c r="I103" s="41"/>
      <c r="J103" s="41"/>
      <c r="K103" s="41"/>
      <c r="L103" s="41"/>
      <c r="M103" s="41"/>
    </row>
    <row r="104" spans="2:13">
      <c r="B104" s="27" t="s">
        <v>83</v>
      </c>
      <c r="F104" s="53"/>
      <c r="G104" s="41"/>
      <c r="H104" s="41"/>
      <c r="I104" s="53"/>
      <c r="J104" s="41"/>
      <c r="K104" s="41"/>
      <c r="L104" s="41"/>
      <c r="M104" s="41"/>
    </row>
    <row r="105" spans="2:13">
      <c r="B105" s="39" t="s">
        <v>84</v>
      </c>
      <c r="C105" s="41"/>
      <c r="D105" s="41"/>
      <c r="E105" s="41"/>
      <c r="F105" s="53">
        <f t="shared" ref="F105:M105" si="27">-F77</f>
        <v>-1651</v>
      </c>
      <c r="G105" s="53">
        <f t="shared" si="27"/>
        <v>-1828</v>
      </c>
      <c r="H105" s="53">
        <f t="shared" si="27"/>
        <v>-2000</v>
      </c>
      <c r="I105" s="53">
        <f>-I77</f>
        <v>-2126.2559838687989</v>
      </c>
      <c r="J105" s="53">
        <f t="shared" si="27"/>
        <v>-2129.6308558403321</v>
      </c>
      <c r="K105" s="53">
        <f t="shared" si="27"/>
        <v>-2489.8940234749944</v>
      </c>
      <c r="L105" s="53">
        <f t="shared" si="27"/>
        <v>-2608.1719912426056</v>
      </c>
      <c r="M105" s="53">
        <f t="shared" si="27"/>
        <v>-2911.8389226816194</v>
      </c>
    </row>
    <row r="106" spans="2:13">
      <c r="B106" s="39" t="s">
        <v>86</v>
      </c>
      <c r="C106" s="41"/>
      <c r="D106" s="41"/>
      <c r="E106" s="41"/>
      <c r="F106" s="52">
        <v>-628</v>
      </c>
      <c r="G106" s="52">
        <v>-581</v>
      </c>
      <c r="H106" s="52">
        <v>-514</v>
      </c>
      <c r="I106" s="52">
        <v>-500</v>
      </c>
      <c r="J106" s="52">
        <v>-500</v>
      </c>
      <c r="K106" s="52">
        <v>-500</v>
      </c>
      <c r="L106" s="52">
        <v>-500</v>
      </c>
      <c r="M106" s="52">
        <v>-500</v>
      </c>
    </row>
    <row r="107" spans="2:13">
      <c r="B107" s="39" t="s">
        <v>66</v>
      </c>
      <c r="C107" s="41"/>
      <c r="D107" s="41"/>
      <c r="E107" s="41"/>
      <c r="F107" s="52">
        <v>-1993</v>
      </c>
      <c r="G107" s="52">
        <v>-2011</v>
      </c>
      <c r="H107" s="52">
        <v>-1710</v>
      </c>
      <c r="I107" s="53">
        <f>-I287</f>
        <v>-1692.0301999999938</v>
      </c>
      <c r="J107" s="53">
        <f>-J287</f>
        <v>-1526.4218518031994</v>
      </c>
      <c r="K107" s="53">
        <f>-K287</f>
        <v>-1915.0728734335644</v>
      </c>
      <c r="L107" s="53">
        <f>-L287</f>
        <v>-3026.3771006840907</v>
      </c>
      <c r="M107" s="53">
        <f>-M287</f>
        <v>-3362.7220769377527</v>
      </c>
    </row>
    <row r="108" spans="2:13">
      <c r="B108" s="39" t="s">
        <v>87</v>
      </c>
      <c r="C108" s="41"/>
      <c r="D108" s="41"/>
      <c r="E108" s="41"/>
      <c r="F108" s="52">
        <v>1417</v>
      </c>
      <c r="G108" s="52">
        <v>812</v>
      </c>
      <c r="H108" s="52">
        <v>1757</v>
      </c>
      <c r="I108" s="52">
        <v>1200</v>
      </c>
      <c r="J108" s="52">
        <v>1200</v>
      </c>
      <c r="K108" s="52">
        <v>1300</v>
      </c>
      <c r="L108" s="52">
        <v>1300</v>
      </c>
      <c r="M108" s="52">
        <v>1500</v>
      </c>
    </row>
    <row r="109" spans="2:13">
      <c r="B109" s="39" t="s">
        <v>88</v>
      </c>
      <c r="C109" s="41"/>
      <c r="D109" s="41"/>
      <c r="E109" s="41"/>
      <c r="F109" s="52">
        <v>-1745</v>
      </c>
      <c r="G109" s="52">
        <v>-819</v>
      </c>
      <c r="H109" s="52">
        <v>-1928</v>
      </c>
      <c r="I109" s="52">
        <v>-1500</v>
      </c>
      <c r="J109" s="52">
        <v>-1600</v>
      </c>
      <c r="K109" s="52">
        <v>-1700</v>
      </c>
      <c r="L109" s="52">
        <v>-1800</v>
      </c>
      <c r="M109" s="52">
        <v>-1900</v>
      </c>
    </row>
    <row r="110" spans="2:13">
      <c r="B110" s="39" t="s">
        <v>89</v>
      </c>
      <c r="C110" s="41"/>
      <c r="D110" s="41"/>
      <c r="E110" s="41"/>
      <c r="F110" s="52">
        <v>-623</v>
      </c>
      <c r="G110" s="52">
        <v>-622</v>
      </c>
      <c r="H110" s="52">
        <v>-806</v>
      </c>
      <c r="I110" s="52">
        <v>800</v>
      </c>
      <c r="J110" s="52">
        <v>800</v>
      </c>
      <c r="K110" s="52">
        <v>800</v>
      </c>
      <c r="L110" s="52">
        <v>900</v>
      </c>
      <c r="M110" s="52">
        <v>1000</v>
      </c>
    </row>
    <row r="111" spans="2:13">
      <c r="B111" s="39" t="s">
        <v>92</v>
      </c>
      <c r="F111" s="52">
        <v>1772</v>
      </c>
      <c r="G111" s="52">
        <v>757</v>
      </c>
      <c r="H111" s="52">
        <v>1504</v>
      </c>
      <c r="I111" s="52">
        <v>1200</v>
      </c>
      <c r="J111" s="52">
        <v>1200</v>
      </c>
      <c r="K111" s="52">
        <v>1300</v>
      </c>
      <c r="L111" s="52">
        <v>1350</v>
      </c>
      <c r="M111" s="52">
        <v>1450</v>
      </c>
    </row>
    <row r="112" spans="2:13">
      <c r="B112" s="39" t="s">
        <v>91</v>
      </c>
      <c r="F112" s="52">
        <v>-135</v>
      </c>
      <c r="G112" s="52">
        <v>-1824</v>
      </c>
      <c r="H112" s="52">
        <v>-1759</v>
      </c>
      <c r="I112" s="52">
        <v>-1250</v>
      </c>
      <c r="J112" s="52">
        <v>-1250</v>
      </c>
      <c r="K112" s="52">
        <v>-1400</v>
      </c>
      <c r="L112" s="52">
        <v>-1500</v>
      </c>
      <c r="M112" s="52">
        <v>-1600</v>
      </c>
    </row>
    <row r="113" spans="2:13">
      <c r="B113" s="39" t="s">
        <v>90</v>
      </c>
      <c r="C113" s="41"/>
      <c r="D113" s="41"/>
      <c r="E113" s="41"/>
      <c r="F113" s="52">
        <v>86</v>
      </c>
      <c r="G113" s="52">
        <v>185</v>
      </c>
      <c r="H113" s="52">
        <v>99</v>
      </c>
      <c r="I113" s="52">
        <v>100</v>
      </c>
      <c r="J113" s="52">
        <v>100</v>
      </c>
      <c r="K113" s="52">
        <v>100</v>
      </c>
      <c r="L113" s="52">
        <v>100</v>
      </c>
      <c r="M113" s="52">
        <v>100</v>
      </c>
    </row>
    <row r="114" spans="2:13">
      <c r="B114" s="28" t="s">
        <v>85</v>
      </c>
      <c r="C114" s="28"/>
      <c r="D114" s="28"/>
      <c r="E114" s="28"/>
      <c r="F114" s="54">
        <f t="shared" ref="F114:M114" si="28">SUM(F105:F113)</f>
        <v>-3500</v>
      </c>
      <c r="G114" s="54">
        <f t="shared" si="28"/>
        <v>-5931</v>
      </c>
      <c r="H114" s="54">
        <f t="shared" si="28"/>
        <v>-5357</v>
      </c>
      <c r="I114" s="54">
        <f t="shared" si="28"/>
        <v>-3768.2861838687932</v>
      </c>
      <c r="J114" s="54">
        <f t="shared" si="28"/>
        <v>-3706.0527076435319</v>
      </c>
      <c r="K114" s="54">
        <f t="shared" si="28"/>
        <v>-4504.9668969085587</v>
      </c>
      <c r="L114" s="54">
        <f t="shared" si="28"/>
        <v>-5784.5490919266958</v>
      </c>
      <c r="M114" s="54">
        <f t="shared" si="28"/>
        <v>-6224.5609996193725</v>
      </c>
    </row>
    <row r="115" spans="2:13">
      <c r="B115" s="39" t="s">
        <v>93</v>
      </c>
      <c r="C115" s="41"/>
      <c r="D115" s="41"/>
      <c r="E115" s="41"/>
      <c r="F115" s="52">
        <v>-480</v>
      </c>
      <c r="G115" s="52">
        <v>-7</v>
      </c>
      <c r="H115" s="52">
        <v>-378</v>
      </c>
      <c r="I115" s="52">
        <v>-300</v>
      </c>
      <c r="J115" s="52">
        <v>-300</v>
      </c>
      <c r="K115" s="52">
        <v>-300</v>
      </c>
      <c r="L115" s="52">
        <v>-300</v>
      </c>
      <c r="M115" s="52">
        <v>-300</v>
      </c>
    </row>
    <row r="116" spans="2:13">
      <c r="B116" s="39" t="s">
        <v>94</v>
      </c>
      <c r="C116" s="41"/>
      <c r="D116" s="41"/>
      <c r="E116" s="41"/>
      <c r="F116" s="55">
        <f>F92+F102+F114+F115</f>
        <v>-6991</v>
      </c>
      <c r="G116" s="55">
        <f t="shared" ref="G116:M116" si="29">G92+G102+G114+G115</f>
        <v>-18022</v>
      </c>
      <c r="H116" s="55">
        <f t="shared" si="29"/>
        <v>-10223</v>
      </c>
      <c r="I116" s="55">
        <f t="shared" si="29"/>
        <v>-4329.3079991967916</v>
      </c>
      <c r="J116" s="55">
        <f t="shared" si="29"/>
        <v>-4264.8845539558733</v>
      </c>
      <c r="K116" s="55">
        <f t="shared" si="29"/>
        <v>-6789.6793818199412</v>
      </c>
      <c r="L116" s="55">
        <f t="shared" si="29"/>
        <v>-8673.3534195675456</v>
      </c>
      <c r="M116" s="55">
        <f t="shared" si="29"/>
        <v>-12428.176519254941</v>
      </c>
    </row>
    <row r="117" spans="2:13">
      <c r="B117" s="39" t="s">
        <v>95</v>
      </c>
      <c r="C117" s="41"/>
      <c r="D117" s="41"/>
      <c r="E117" s="41"/>
      <c r="F117" s="52">
        <v>95829</v>
      </c>
      <c r="G117" s="52">
        <v>88838</v>
      </c>
      <c r="H117" s="52">
        <v>70816</v>
      </c>
      <c r="I117" s="55">
        <f>H118</f>
        <v>60593</v>
      </c>
      <c r="J117" s="55">
        <f t="shared" ref="J117:M117" si="30">I118</f>
        <v>56263.69200080321</v>
      </c>
      <c r="K117" s="55">
        <f t="shared" si="30"/>
        <v>51998.807446847335</v>
      </c>
      <c r="L117" s="55">
        <f t="shared" si="30"/>
        <v>45209.128065027391</v>
      </c>
      <c r="M117" s="55">
        <f t="shared" si="30"/>
        <v>36535.774645459845</v>
      </c>
    </row>
    <row r="118" spans="2:13">
      <c r="B118" s="28" t="s">
        <v>150</v>
      </c>
      <c r="C118" s="41"/>
      <c r="D118" s="41"/>
      <c r="E118" s="41"/>
      <c r="F118" s="53">
        <f>F116+F117</f>
        <v>88838</v>
      </c>
      <c r="G118" s="53">
        <f t="shared" ref="G118:M118" si="31">G116+G117</f>
        <v>70816</v>
      </c>
      <c r="H118" s="53">
        <f t="shared" si="31"/>
        <v>60593</v>
      </c>
      <c r="I118" s="53">
        <f t="shared" si="31"/>
        <v>56263.69200080321</v>
      </c>
      <c r="J118" s="53">
        <f t="shared" si="31"/>
        <v>51998.807446847335</v>
      </c>
      <c r="K118" s="53">
        <f t="shared" si="31"/>
        <v>45209.128065027391</v>
      </c>
      <c r="L118" s="53">
        <f t="shared" si="31"/>
        <v>36535.774645459845</v>
      </c>
      <c r="M118" s="53">
        <f t="shared" si="31"/>
        <v>24107.598126204903</v>
      </c>
    </row>
    <row r="121" spans="2:13" ht="16.5" customHeight="1">
      <c r="B121" s="31" t="s">
        <v>96</v>
      </c>
      <c r="C121" s="32"/>
      <c r="D121" s="32"/>
      <c r="E121" s="32"/>
      <c r="F121" s="32"/>
      <c r="G121" s="33"/>
      <c r="H121" s="33"/>
      <c r="I121" s="34"/>
      <c r="J121" s="34"/>
      <c r="K121" s="34"/>
      <c r="L121" s="34"/>
      <c r="M121" s="34"/>
    </row>
    <row r="122" spans="2:13"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</row>
    <row r="123" spans="2:13">
      <c r="B123" s="35" t="s">
        <v>10</v>
      </c>
      <c r="C123" s="36"/>
      <c r="D123" s="36"/>
      <c r="E123" s="36"/>
      <c r="F123" s="37">
        <f>F$5</f>
        <v>2023</v>
      </c>
      <c r="G123" s="37">
        <f t="shared" ref="G123:M123" si="32">G$5</f>
        <v>2024</v>
      </c>
      <c r="H123" s="37">
        <f t="shared" si="32"/>
        <v>2025</v>
      </c>
      <c r="I123" s="38">
        <f t="shared" si="32"/>
        <v>2026</v>
      </c>
      <c r="J123" s="38">
        <f t="shared" si="32"/>
        <v>2027</v>
      </c>
      <c r="K123" s="38">
        <f t="shared" si="32"/>
        <v>2028</v>
      </c>
      <c r="L123" s="38">
        <f t="shared" si="32"/>
        <v>2029</v>
      </c>
      <c r="M123" s="38">
        <f t="shared" si="32"/>
        <v>2030</v>
      </c>
    </row>
    <row r="124" spans="2:13"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</row>
    <row r="125" spans="2:13">
      <c r="B125" s="28" t="s">
        <v>97</v>
      </c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</row>
    <row r="126" spans="2:13">
      <c r="B126" s="39" t="s">
        <v>98</v>
      </c>
      <c r="C126" s="41"/>
      <c r="D126" s="41"/>
      <c r="E126" s="41"/>
      <c r="F126" s="58">
        <f>F36</f>
        <v>40234</v>
      </c>
      <c r="G126" s="58">
        <f t="shared" ref="G126:M126" si="33">G36</f>
        <v>39521</v>
      </c>
      <c r="H126" s="58">
        <f t="shared" si="33"/>
        <v>41721</v>
      </c>
      <c r="I126" s="58">
        <f t="shared" si="33"/>
        <v>42388.353775803203</v>
      </c>
      <c r="J126" s="58">
        <f t="shared" si="33"/>
        <v>43802.850724922369</v>
      </c>
      <c r="K126" s="58">
        <f t="shared" si="33"/>
        <v>45430.98165795824</v>
      </c>
      <c r="L126" s="58">
        <f t="shared" si="33"/>
        <v>46092.370324348449</v>
      </c>
      <c r="M126" s="58">
        <f t="shared" si="33"/>
        <v>46788.562486243783</v>
      </c>
    </row>
    <row r="127" spans="2:13">
      <c r="B127" s="39" t="s">
        <v>117</v>
      </c>
      <c r="C127" s="41"/>
      <c r="D127" s="41"/>
      <c r="E127" s="41"/>
      <c r="F127" s="66">
        <f t="shared" ref="F127:M127" si="34">-F16</f>
        <v>-8306</v>
      </c>
      <c r="G127" s="66">
        <f t="shared" si="34"/>
        <v>-8188</v>
      </c>
      <c r="H127" s="66">
        <f t="shared" si="34"/>
        <v>-8593</v>
      </c>
      <c r="I127" s="66">
        <f t="shared" si="34"/>
        <v>-8500</v>
      </c>
      <c r="J127" s="66">
        <f t="shared" si="34"/>
        <v>-8500</v>
      </c>
      <c r="K127" s="66">
        <f t="shared" si="34"/>
        <v>-8500</v>
      </c>
      <c r="L127" s="66">
        <f t="shared" si="34"/>
        <v>-9000</v>
      </c>
      <c r="M127" s="66">
        <f t="shared" si="34"/>
        <v>-9500</v>
      </c>
    </row>
    <row r="128" spans="2:13">
      <c r="B128" s="39" t="s">
        <v>100</v>
      </c>
      <c r="C128" s="41"/>
      <c r="D128" s="41"/>
      <c r="E128" s="41"/>
      <c r="F128" s="58">
        <f>SUM(F126:F127)</f>
        <v>31928</v>
      </c>
      <c r="G128" s="58">
        <f t="shared" ref="G128:M128" si="35">SUM(G126:G127)</f>
        <v>31333</v>
      </c>
      <c r="H128" s="58">
        <f t="shared" si="35"/>
        <v>33128</v>
      </c>
      <c r="I128" s="58">
        <f t="shared" si="35"/>
        <v>33888.353775803203</v>
      </c>
      <c r="J128" s="58">
        <f t="shared" si="35"/>
        <v>35302.850724922369</v>
      </c>
      <c r="K128" s="58">
        <f t="shared" si="35"/>
        <v>36930.98165795824</v>
      </c>
      <c r="L128" s="58">
        <f t="shared" si="35"/>
        <v>37092.370324348449</v>
      </c>
      <c r="M128" s="58">
        <f t="shared" si="35"/>
        <v>37288.562486243783</v>
      </c>
    </row>
    <row r="129" spans="2:13">
      <c r="B129" s="41"/>
      <c r="C129" s="41"/>
      <c r="D129" s="41"/>
      <c r="E129" s="41"/>
      <c r="F129" s="41"/>
      <c r="I129" s="41"/>
      <c r="J129" s="67"/>
      <c r="K129" s="67"/>
      <c r="L129" s="67"/>
      <c r="M129" s="67"/>
    </row>
    <row r="130" spans="2:13">
      <c r="B130" s="28" t="s">
        <v>101</v>
      </c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</row>
    <row r="131" spans="2:13">
      <c r="B131" s="39" t="s">
        <v>98</v>
      </c>
      <c r="C131" s="41"/>
      <c r="D131" s="41"/>
      <c r="E131" s="41"/>
      <c r="F131" s="58">
        <f t="shared" ref="F131:M131" si="36">F36</f>
        <v>40234</v>
      </c>
      <c r="G131" s="58">
        <f t="shared" si="36"/>
        <v>39521</v>
      </c>
      <c r="H131" s="58">
        <f t="shared" si="36"/>
        <v>41721</v>
      </c>
      <c r="I131" s="58">
        <f t="shared" si="36"/>
        <v>42388.353775803203</v>
      </c>
      <c r="J131" s="58">
        <f t="shared" si="36"/>
        <v>43802.850724922369</v>
      </c>
      <c r="K131" s="58">
        <f t="shared" si="36"/>
        <v>45430.98165795824</v>
      </c>
      <c r="L131" s="58">
        <f t="shared" si="36"/>
        <v>46092.370324348449</v>
      </c>
      <c r="M131" s="58">
        <f t="shared" si="36"/>
        <v>46788.562486243783</v>
      </c>
    </row>
    <row r="132" spans="2:13">
      <c r="B132" s="39" t="s">
        <v>102</v>
      </c>
      <c r="C132" s="41"/>
      <c r="D132" s="41"/>
      <c r="E132" s="41"/>
      <c r="F132" s="58">
        <f>AVERAGE(E131:F131)</f>
        <v>40234</v>
      </c>
      <c r="G132" s="58">
        <f>AVERAGE(F131:G131)</f>
        <v>39877.5</v>
      </c>
      <c r="H132" s="58">
        <f t="shared" ref="H132:M132" si="37">AVERAGE(G131:H131)</f>
        <v>40621</v>
      </c>
      <c r="I132" s="58">
        <f t="shared" si="37"/>
        <v>42054.676887901602</v>
      </c>
      <c r="J132" s="58">
        <f t="shared" si="37"/>
        <v>43095.60225036279</v>
      </c>
      <c r="K132" s="58">
        <f t="shared" si="37"/>
        <v>44616.916191440308</v>
      </c>
      <c r="L132" s="58">
        <f t="shared" si="37"/>
        <v>45761.675991153345</v>
      </c>
      <c r="M132" s="58">
        <f t="shared" si="37"/>
        <v>46440.466405296116</v>
      </c>
    </row>
    <row r="133" spans="2:13">
      <c r="B133" s="39" t="s">
        <v>103</v>
      </c>
      <c r="C133" s="41"/>
      <c r="D133" s="41"/>
      <c r="E133" s="41"/>
      <c r="F133" s="66">
        <f t="shared" ref="F133:M133" si="38">F75</f>
        <v>5518</v>
      </c>
      <c r="G133" s="66">
        <f t="shared" si="38"/>
        <v>4477</v>
      </c>
      <c r="H133" s="66">
        <f t="shared" si="38"/>
        <v>4757</v>
      </c>
      <c r="I133" s="66">
        <f t="shared" si="38"/>
        <v>5315.6399596719966</v>
      </c>
      <c r="J133" s="66">
        <f t="shared" si="38"/>
        <v>5070.549656762696</v>
      </c>
      <c r="K133" s="66">
        <f t="shared" si="38"/>
        <v>5533.0978299444314</v>
      </c>
      <c r="L133" s="66">
        <f t="shared" si="38"/>
        <v>5795.9377583169016</v>
      </c>
      <c r="M133" s="66">
        <f t="shared" si="38"/>
        <v>6470.7531615147091</v>
      </c>
    </row>
    <row r="134" spans="2:13">
      <c r="B134" s="39" t="s">
        <v>104</v>
      </c>
      <c r="C134" s="41"/>
      <c r="D134" s="41"/>
      <c r="E134" s="41"/>
      <c r="F134" s="68">
        <f>F133/F132</f>
        <v>0.1371476860366854</v>
      </c>
      <c r="G134" s="68">
        <f t="shared" ref="G134:M134" si="39">G133/G132</f>
        <v>0.11226882327126826</v>
      </c>
      <c r="H134" s="68">
        <f t="shared" si="39"/>
        <v>0.11710691514241402</v>
      </c>
      <c r="I134" s="68">
        <f t="shared" si="39"/>
        <v>0.12639830699070748</v>
      </c>
      <c r="J134" s="68">
        <f t="shared" si="39"/>
        <v>0.11765816909357638</v>
      </c>
      <c r="K134" s="68">
        <f t="shared" si="39"/>
        <v>0.12401345279452435</v>
      </c>
      <c r="L134" s="68">
        <f t="shared" si="39"/>
        <v>0.12665484016445056</v>
      </c>
      <c r="M134" s="68">
        <f t="shared" si="39"/>
        <v>0.1393343706982404</v>
      </c>
    </row>
    <row r="136" spans="2:13">
      <c r="B136" s="28" t="s">
        <v>105</v>
      </c>
      <c r="C136" s="41"/>
      <c r="D136" s="41"/>
      <c r="E136" s="41"/>
      <c r="F136" s="68"/>
      <c r="G136" s="68"/>
      <c r="H136" s="68"/>
      <c r="I136" s="68"/>
      <c r="J136" s="68"/>
      <c r="K136" s="68"/>
      <c r="L136" s="68"/>
      <c r="M136" s="68"/>
    </row>
    <row r="137" spans="2:13">
      <c r="B137" s="39" t="s">
        <v>106</v>
      </c>
      <c r="C137" s="41"/>
      <c r="D137" s="41"/>
      <c r="E137" s="41"/>
      <c r="F137" s="58">
        <f>F36</f>
        <v>40234</v>
      </c>
      <c r="G137" s="58">
        <f t="shared" ref="G137:M137" si="40">G36</f>
        <v>39521</v>
      </c>
      <c r="H137" s="58">
        <f t="shared" si="40"/>
        <v>41721</v>
      </c>
      <c r="I137" s="58">
        <f t="shared" si="40"/>
        <v>42388.353775803203</v>
      </c>
      <c r="J137" s="58">
        <f t="shared" si="40"/>
        <v>43802.850724922369</v>
      </c>
      <c r="K137" s="58">
        <f t="shared" si="40"/>
        <v>45430.98165795824</v>
      </c>
      <c r="L137" s="58">
        <f t="shared" si="40"/>
        <v>46092.370324348449</v>
      </c>
      <c r="M137" s="58">
        <f t="shared" si="40"/>
        <v>46788.562486243783</v>
      </c>
    </row>
    <row r="138" spans="2:13">
      <c r="B138" s="39" t="s">
        <v>20</v>
      </c>
      <c r="C138" s="41"/>
      <c r="D138" s="41"/>
      <c r="E138" s="41"/>
      <c r="F138" s="58">
        <f t="shared" ref="F138:M138" si="41">F34</f>
        <v>6790</v>
      </c>
      <c r="G138" s="58">
        <f t="shared" si="41"/>
        <v>5912</v>
      </c>
      <c r="H138" s="58">
        <f t="shared" si="41"/>
        <v>6291</v>
      </c>
      <c r="I138" s="58">
        <f t="shared" si="41"/>
        <v>7788.3537758032035</v>
      </c>
      <c r="J138" s="58">
        <f t="shared" si="41"/>
        <v>9202.8507249223676</v>
      </c>
      <c r="K138" s="58">
        <f t="shared" si="41"/>
        <v>10330.98165795824</v>
      </c>
      <c r="L138" s="58">
        <f t="shared" si="41"/>
        <v>10492.370324348445</v>
      </c>
      <c r="M138" s="58">
        <f t="shared" si="41"/>
        <v>10688.562486243782</v>
      </c>
    </row>
    <row r="139" spans="2:13">
      <c r="B139" s="39" t="s">
        <v>99</v>
      </c>
      <c r="C139" s="41"/>
      <c r="D139" s="41"/>
      <c r="E139" s="41"/>
      <c r="F139" s="66">
        <f t="shared" ref="F139:M139" si="42">-F16</f>
        <v>-8306</v>
      </c>
      <c r="G139" s="66">
        <f t="shared" si="42"/>
        <v>-8188</v>
      </c>
      <c r="H139" s="66">
        <f t="shared" si="42"/>
        <v>-8593</v>
      </c>
      <c r="I139" s="66">
        <f t="shared" si="42"/>
        <v>-8500</v>
      </c>
      <c r="J139" s="66">
        <f t="shared" si="42"/>
        <v>-8500</v>
      </c>
      <c r="K139" s="66">
        <f t="shared" si="42"/>
        <v>-8500</v>
      </c>
      <c r="L139" s="66">
        <f t="shared" si="42"/>
        <v>-9000</v>
      </c>
      <c r="M139" s="66">
        <f t="shared" si="42"/>
        <v>-9500</v>
      </c>
    </row>
    <row r="140" spans="2:13">
      <c r="B140" s="39" t="s">
        <v>107</v>
      </c>
      <c r="C140" s="41"/>
      <c r="D140" s="41"/>
      <c r="E140" s="41"/>
      <c r="F140" s="58">
        <f>SUM(F137:F139)</f>
        <v>38718</v>
      </c>
      <c r="G140" s="58">
        <f t="shared" ref="G140:M140" si="43">SUM(G137:G139)</f>
        <v>37245</v>
      </c>
      <c r="H140" s="58">
        <f t="shared" si="43"/>
        <v>39419</v>
      </c>
      <c r="I140" s="58">
        <f t="shared" si="43"/>
        <v>41676.707551606407</v>
      </c>
      <c r="J140" s="58">
        <f t="shared" si="43"/>
        <v>44505.701449844739</v>
      </c>
      <c r="K140" s="58">
        <f t="shared" si="43"/>
        <v>47261.96331591648</v>
      </c>
      <c r="L140" s="58">
        <f t="shared" si="43"/>
        <v>47584.740648696898</v>
      </c>
      <c r="M140" s="58">
        <f t="shared" si="43"/>
        <v>47977.124972487567</v>
      </c>
    </row>
    <row r="141" spans="2:13">
      <c r="B141" s="39" t="s">
        <v>108</v>
      </c>
      <c r="C141" s="41"/>
      <c r="D141" s="41"/>
      <c r="E141" s="41"/>
      <c r="F141" s="58">
        <f>AVERAGE(E140:F140)</f>
        <v>38718</v>
      </c>
      <c r="G141" s="58">
        <f t="shared" ref="G141:M141" si="44">AVERAGE(F140:G140)</f>
        <v>37981.5</v>
      </c>
      <c r="H141" s="58">
        <f t="shared" si="44"/>
        <v>38332</v>
      </c>
      <c r="I141" s="58">
        <f t="shared" si="44"/>
        <v>40547.853775803203</v>
      </c>
      <c r="J141" s="58">
        <f t="shared" si="44"/>
        <v>43091.204500725573</v>
      </c>
      <c r="K141" s="58">
        <f t="shared" si="44"/>
        <v>45883.83238288061</v>
      </c>
      <c r="L141" s="58">
        <f t="shared" si="44"/>
        <v>47423.351982306689</v>
      </c>
      <c r="M141" s="58">
        <f t="shared" si="44"/>
        <v>47780.932810592232</v>
      </c>
    </row>
    <row r="142" spans="2:13">
      <c r="B142" s="39" t="s">
        <v>103</v>
      </c>
      <c r="C142" s="41"/>
      <c r="D142" s="41"/>
      <c r="E142" s="41"/>
      <c r="F142" s="58">
        <f t="shared" ref="F142:M142" si="45">F75</f>
        <v>5518</v>
      </c>
      <c r="G142" s="58">
        <f t="shared" si="45"/>
        <v>4477</v>
      </c>
      <c r="H142" s="58">
        <f t="shared" si="45"/>
        <v>4757</v>
      </c>
      <c r="I142" s="58">
        <f t="shared" si="45"/>
        <v>5315.6399596719966</v>
      </c>
      <c r="J142" s="58">
        <f t="shared" si="45"/>
        <v>5070.549656762696</v>
      </c>
      <c r="K142" s="58">
        <f t="shared" si="45"/>
        <v>5533.0978299444314</v>
      </c>
      <c r="L142" s="58">
        <f t="shared" si="45"/>
        <v>5795.9377583169016</v>
      </c>
      <c r="M142" s="58">
        <f t="shared" si="45"/>
        <v>6470.7531615147091</v>
      </c>
    </row>
    <row r="143" spans="2:13">
      <c r="B143" s="39" t="s">
        <v>109</v>
      </c>
      <c r="C143" s="41"/>
      <c r="D143" s="41"/>
      <c r="E143" s="41"/>
      <c r="F143" s="69">
        <f>F142/F141</f>
        <v>0.14251769202954698</v>
      </c>
      <c r="G143" s="69">
        <f t="shared" ref="G143:M143" si="46">G142/G141</f>
        <v>0.11787317509840317</v>
      </c>
      <c r="H143" s="69">
        <f t="shared" si="46"/>
        <v>0.12409996869456329</v>
      </c>
      <c r="I143" s="69">
        <f t="shared" si="46"/>
        <v>0.13109547028218019</v>
      </c>
      <c r="J143" s="69">
        <f t="shared" si="46"/>
        <v>0.11767017690761737</v>
      </c>
      <c r="K143" s="69">
        <f t="shared" si="46"/>
        <v>0.12058926952250061</v>
      </c>
      <c r="L143" s="69">
        <f t="shared" si="46"/>
        <v>0.12221695675327472</v>
      </c>
      <c r="M143" s="69">
        <f t="shared" si="46"/>
        <v>0.13542542560157494</v>
      </c>
    </row>
    <row r="144" spans="2:13">
      <c r="B144" s="39"/>
      <c r="C144" s="41"/>
      <c r="D144" s="41"/>
      <c r="E144" s="41"/>
      <c r="F144" s="68"/>
      <c r="G144" s="68"/>
      <c r="H144" s="68"/>
      <c r="I144" s="68"/>
      <c r="J144" s="68"/>
      <c r="K144" s="68"/>
      <c r="L144" s="68"/>
      <c r="M144" s="68"/>
    </row>
    <row r="145" spans="2:13">
      <c r="B145" s="28" t="s">
        <v>156</v>
      </c>
      <c r="C145" s="27"/>
      <c r="D145" s="28"/>
      <c r="E145" s="28"/>
      <c r="F145" s="117">
        <f t="shared" ref="F145:M145" si="47">F49/F189</f>
        <v>2.8879564960561519E-2</v>
      </c>
      <c r="G145" s="118">
        <f t="shared" si="47"/>
        <v>2.6289079229122055E-2</v>
      </c>
      <c r="H145" s="118">
        <f t="shared" si="47"/>
        <v>2.7119769758689394E-2</v>
      </c>
      <c r="I145" s="118">
        <f t="shared" si="47"/>
        <v>2.6110537626362094E-2</v>
      </c>
      <c r="J145" s="118">
        <f t="shared" si="47"/>
        <v>2.5199087340877634E-2</v>
      </c>
      <c r="K145" s="118">
        <f t="shared" si="47"/>
        <v>2.5253722563193283E-2</v>
      </c>
      <c r="L145" s="118">
        <f t="shared" si="47"/>
        <v>2.5327211041218208E-2</v>
      </c>
      <c r="M145" s="119">
        <f t="shared" si="47"/>
        <v>2.5629041776327507E-2</v>
      </c>
    </row>
    <row r="147" spans="2:13">
      <c r="B147" s="28" t="s">
        <v>110</v>
      </c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</row>
    <row r="148" spans="2:13">
      <c r="B148" s="39" t="s">
        <v>106</v>
      </c>
      <c r="C148" s="41"/>
      <c r="D148" s="41"/>
      <c r="E148" s="41"/>
      <c r="F148" s="58">
        <f>F36</f>
        <v>40234</v>
      </c>
      <c r="G148" s="58">
        <f t="shared" ref="G148:M148" si="48">G36</f>
        <v>39521</v>
      </c>
      <c r="H148" s="58">
        <f t="shared" si="48"/>
        <v>41721</v>
      </c>
      <c r="I148" s="58">
        <f t="shared" si="48"/>
        <v>42388.353775803203</v>
      </c>
      <c r="J148" s="58">
        <f t="shared" si="48"/>
        <v>43802.850724922369</v>
      </c>
      <c r="K148" s="58">
        <f t="shared" si="48"/>
        <v>45430.98165795824</v>
      </c>
      <c r="L148" s="58">
        <f t="shared" si="48"/>
        <v>46092.370324348449</v>
      </c>
      <c r="M148" s="58">
        <f t="shared" si="48"/>
        <v>46788.562486243783</v>
      </c>
    </row>
    <row r="149" spans="2:13">
      <c r="B149" s="39" t="s">
        <v>117</v>
      </c>
      <c r="C149" s="41"/>
      <c r="D149" s="41"/>
      <c r="E149" s="41"/>
      <c r="F149" s="58">
        <f t="shared" ref="F149:M149" si="49">-F16</f>
        <v>-8306</v>
      </c>
      <c r="G149" s="58">
        <f t="shared" si="49"/>
        <v>-8188</v>
      </c>
      <c r="H149" s="58">
        <f t="shared" si="49"/>
        <v>-8593</v>
      </c>
      <c r="I149" s="58">
        <f t="shared" si="49"/>
        <v>-8500</v>
      </c>
      <c r="J149" s="58">
        <f t="shared" si="49"/>
        <v>-8500</v>
      </c>
      <c r="K149" s="58">
        <f t="shared" si="49"/>
        <v>-8500</v>
      </c>
      <c r="L149" s="58">
        <f t="shared" si="49"/>
        <v>-9000</v>
      </c>
      <c r="M149" s="58">
        <f t="shared" si="49"/>
        <v>-9500</v>
      </c>
    </row>
    <row r="150" spans="2:13">
      <c r="B150" s="39" t="s">
        <v>369</v>
      </c>
      <c r="C150" s="41"/>
      <c r="D150" s="41"/>
      <c r="E150" s="41"/>
      <c r="F150" s="474">
        <v>-31</v>
      </c>
      <c r="G150" s="474">
        <v>646</v>
      </c>
      <c r="H150" s="474">
        <v>-198</v>
      </c>
      <c r="I150" s="474">
        <v>0</v>
      </c>
      <c r="J150" s="474">
        <v>0</v>
      </c>
      <c r="K150" s="474">
        <v>0</v>
      </c>
      <c r="L150" s="474">
        <v>0</v>
      </c>
      <c r="M150" s="474">
        <v>0</v>
      </c>
    </row>
    <row r="151" spans="2:13">
      <c r="B151" s="39" t="s">
        <v>111</v>
      </c>
      <c r="C151" s="41"/>
      <c r="D151" s="41"/>
      <c r="E151" s="41"/>
      <c r="F151" s="58">
        <f>SUM(F148:F150)</f>
        <v>31897</v>
      </c>
      <c r="G151" s="58">
        <f>SUM(G148:G150)</f>
        <v>31979</v>
      </c>
      <c r="H151" s="58">
        <f>SUM(H148:H150)</f>
        <v>32930</v>
      </c>
      <c r="I151" s="58">
        <f t="shared" ref="I151:M151" si="50">SUM(I148:I149)</f>
        <v>33888.353775803203</v>
      </c>
      <c r="J151" s="58">
        <f t="shared" si="50"/>
        <v>35302.850724922369</v>
      </c>
      <c r="K151" s="58">
        <f t="shared" si="50"/>
        <v>36930.98165795824</v>
      </c>
      <c r="L151" s="58">
        <f t="shared" si="50"/>
        <v>37092.370324348449</v>
      </c>
      <c r="M151" s="58">
        <f t="shared" si="50"/>
        <v>37288.562486243783</v>
      </c>
    </row>
    <row r="152" spans="2:13">
      <c r="G152" s="41"/>
      <c r="H152" s="41"/>
    </row>
    <row r="153" spans="2:13">
      <c r="B153" s="28" t="s">
        <v>112</v>
      </c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</row>
    <row r="154" spans="2:13">
      <c r="B154" s="39" t="s">
        <v>113</v>
      </c>
      <c r="C154" s="41"/>
      <c r="D154" s="41"/>
      <c r="E154" s="41"/>
      <c r="F154" s="53">
        <f t="shared" ref="F154:M154" si="51">F118</f>
        <v>88838</v>
      </c>
      <c r="G154" s="53">
        <f t="shared" si="51"/>
        <v>70816</v>
      </c>
      <c r="H154" s="53">
        <f t="shared" si="51"/>
        <v>60593</v>
      </c>
      <c r="I154" s="53">
        <f t="shared" si="51"/>
        <v>56263.69200080321</v>
      </c>
      <c r="J154" s="53">
        <f t="shared" si="51"/>
        <v>51998.807446847335</v>
      </c>
      <c r="K154" s="53">
        <f t="shared" si="51"/>
        <v>45209.128065027391</v>
      </c>
      <c r="L154" s="53">
        <f t="shared" si="51"/>
        <v>36535.774645459845</v>
      </c>
      <c r="M154" s="53">
        <f t="shared" si="51"/>
        <v>24107.598126204903</v>
      </c>
    </row>
    <row r="155" spans="2:13">
      <c r="B155" s="47" t="s">
        <v>35</v>
      </c>
      <c r="C155" s="41"/>
      <c r="D155" s="41"/>
      <c r="E155" s="41"/>
      <c r="F155" s="53">
        <f t="shared" ref="F155:M156" si="52">F11</f>
        <v>10764</v>
      </c>
      <c r="G155" s="53">
        <f t="shared" si="52"/>
        <v>7900</v>
      </c>
      <c r="H155" s="53">
        <f t="shared" si="52"/>
        <v>7236</v>
      </c>
      <c r="I155" s="53">
        <f t="shared" si="52"/>
        <v>9847.8779999999988</v>
      </c>
      <c r="J155" s="53">
        <f t="shared" si="52"/>
        <v>10096.645374</v>
      </c>
      <c r="K155" s="53">
        <f t="shared" si="52"/>
        <v>10358.495497601998</v>
      </c>
      <c r="L155" s="53">
        <f t="shared" si="52"/>
        <v>10629.272801646845</v>
      </c>
      <c r="M155" s="53">
        <f t="shared" si="52"/>
        <v>10884.211416575781</v>
      </c>
    </row>
    <row r="156" spans="2:13">
      <c r="B156" s="47" t="s">
        <v>36</v>
      </c>
      <c r="F156" s="53">
        <f t="shared" si="52"/>
        <v>449745</v>
      </c>
      <c r="G156" s="53">
        <f t="shared" si="52"/>
        <v>459857</v>
      </c>
      <c r="H156" s="53">
        <f t="shared" si="52"/>
        <v>481463</v>
      </c>
      <c r="I156" s="53">
        <f t="shared" si="52"/>
        <v>492393.89999999997</v>
      </c>
      <c r="J156" s="53">
        <f t="shared" si="52"/>
        <v>504832.26869999996</v>
      </c>
      <c r="K156" s="53">
        <f t="shared" si="52"/>
        <v>517924.77488009993</v>
      </c>
      <c r="L156" s="53">
        <f t="shared" si="52"/>
        <v>531463.6400823422</v>
      </c>
      <c r="M156" s="53">
        <f t="shared" si="52"/>
        <v>544210.57082878903</v>
      </c>
    </row>
    <row r="158" spans="2:13">
      <c r="B158" s="70" t="s">
        <v>114</v>
      </c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</row>
    <row r="159" spans="2:13">
      <c r="B159" s="39" t="s">
        <v>113</v>
      </c>
      <c r="C159" s="41"/>
      <c r="D159" s="41"/>
      <c r="E159" s="41"/>
      <c r="F159" s="71">
        <v>0</v>
      </c>
      <c r="G159" s="71">
        <v>0</v>
      </c>
      <c r="H159" s="71">
        <v>0</v>
      </c>
      <c r="I159" s="71">
        <v>0</v>
      </c>
      <c r="J159" s="71">
        <v>0</v>
      </c>
      <c r="K159" s="71">
        <v>0</v>
      </c>
      <c r="L159" s="71">
        <v>0</v>
      </c>
      <c r="M159" s="71">
        <v>0</v>
      </c>
    </row>
    <row r="160" spans="2:13">
      <c r="B160" s="47" t="s">
        <v>35</v>
      </c>
      <c r="C160" s="41"/>
      <c r="D160" s="41"/>
      <c r="E160" s="41"/>
      <c r="F160" s="71">
        <v>0.2</v>
      </c>
      <c r="G160" s="71">
        <v>0.2</v>
      </c>
      <c r="H160" s="71">
        <v>0.2</v>
      </c>
      <c r="I160" s="71">
        <v>0.2</v>
      </c>
      <c r="J160" s="71">
        <v>0.2</v>
      </c>
      <c r="K160" s="71">
        <v>0.2</v>
      </c>
      <c r="L160" s="71">
        <v>0.2</v>
      </c>
      <c r="M160" s="71">
        <v>0.2</v>
      </c>
    </row>
    <row r="161" spans="2:14">
      <c r="B161" s="47" t="s">
        <v>36</v>
      </c>
      <c r="C161" s="41"/>
      <c r="D161" s="41"/>
      <c r="E161" s="41"/>
      <c r="F161" s="72">
        <v>0.48</v>
      </c>
      <c r="G161" s="72">
        <v>0.47499999999999998</v>
      </c>
      <c r="H161" s="72">
        <v>0.49</v>
      </c>
      <c r="I161" s="72">
        <v>0.49</v>
      </c>
      <c r="J161" s="72">
        <v>0.49</v>
      </c>
      <c r="K161" s="72">
        <v>0.49</v>
      </c>
      <c r="L161" s="72">
        <v>0.49</v>
      </c>
      <c r="M161" s="72">
        <v>0.49</v>
      </c>
    </row>
    <row r="162" spans="2:14">
      <c r="B162" s="39" t="s">
        <v>115</v>
      </c>
      <c r="C162" s="41"/>
      <c r="D162" s="41"/>
      <c r="E162" s="41"/>
      <c r="F162" s="58">
        <f t="shared" ref="F162:M162" si="53">SUMPRODUCT(F154:F156,F159:F161)</f>
        <v>218030.4</v>
      </c>
      <c r="G162" s="58">
        <f t="shared" si="53"/>
        <v>220012.07499999998</v>
      </c>
      <c r="H162" s="58">
        <f t="shared" si="53"/>
        <v>237364.07</v>
      </c>
      <c r="I162" s="58">
        <f t="shared" si="53"/>
        <v>243242.58659999998</v>
      </c>
      <c r="J162" s="58">
        <f t="shared" si="53"/>
        <v>249387.14073779999</v>
      </c>
      <c r="K162" s="58">
        <f t="shared" si="53"/>
        <v>255854.83879076937</v>
      </c>
      <c r="L162" s="58">
        <f t="shared" si="53"/>
        <v>262543.03820067702</v>
      </c>
      <c r="M162" s="58">
        <f t="shared" si="53"/>
        <v>268840.02198942174</v>
      </c>
    </row>
    <row r="163" spans="2:14"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</row>
    <row r="164" spans="2:14" ht="15.75" thickBot="1">
      <c r="B164" s="28" t="s">
        <v>116</v>
      </c>
      <c r="C164" s="28"/>
      <c r="D164" s="28"/>
      <c r="E164" s="28"/>
      <c r="F164" s="73">
        <f t="shared" ref="F164:M164" si="54">F151/F162</f>
        <v>0.14629611283564128</v>
      </c>
      <c r="G164" s="73">
        <f t="shared" si="54"/>
        <v>0.14535111311504154</v>
      </c>
      <c r="H164" s="73">
        <f t="shared" si="54"/>
        <v>0.1387320330326321</v>
      </c>
      <c r="I164" s="73">
        <f t="shared" si="54"/>
        <v>0.13931916384169549</v>
      </c>
      <c r="J164" s="73">
        <f t="shared" si="54"/>
        <v>0.14155842446599518</v>
      </c>
      <c r="K164" s="73">
        <f t="shared" si="54"/>
        <v>0.14434349505564489</v>
      </c>
      <c r="L164" s="73">
        <f t="shared" si="54"/>
        <v>0.14128110415175654</v>
      </c>
      <c r="M164" s="73">
        <f t="shared" si="54"/>
        <v>0.1387016792005433</v>
      </c>
    </row>
    <row r="166" spans="2:14" ht="15.75">
      <c r="B166" s="44" t="s">
        <v>119</v>
      </c>
      <c r="C166" s="62"/>
      <c r="D166" s="62"/>
      <c r="E166" s="62"/>
    </row>
    <row r="167" spans="2:14" ht="15.75">
      <c r="B167" s="44" t="s">
        <v>120</v>
      </c>
      <c r="C167" s="62"/>
      <c r="D167" s="62"/>
      <c r="E167" s="62"/>
    </row>
    <row r="168" spans="2:14" ht="15.75">
      <c r="B168" s="44" t="s">
        <v>121</v>
      </c>
      <c r="C168" s="62"/>
      <c r="D168" s="62"/>
      <c r="E168" s="62"/>
    </row>
    <row r="169" spans="2:14" ht="15.75">
      <c r="B169" s="44" t="s">
        <v>122</v>
      </c>
      <c r="C169" s="62"/>
      <c r="D169" s="62"/>
      <c r="E169" s="62"/>
    </row>
    <row r="170" spans="2:14" ht="15.75">
      <c r="B170" s="74" t="s">
        <v>123</v>
      </c>
      <c r="C170" s="62"/>
      <c r="D170" s="62"/>
      <c r="E170" s="62"/>
    </row>
    <row r="173" spans="2:14" ht="16.5" customHeight="1">
      <c r="B173" s="31" t="s">
        <v>131</v>
      </c>
      <c r="C173" s="32"/>
      <c r="D173" s="32"/>
      <c r="E173" s="32"/>
      <c r="F173" s="32"/>
      <c r="G173" s="33"/>
      <c r="H173" s="33"/>
      <c r="I173" s="34"/>
      <c r="J173" s="34"/>
      <c r="K173" s="34"/>
      <c r="L173" s="34"/>
      <c r="M173" s="34"/>
      <c r="N173" s="75"/>
    </row>
    <row r="174" spans="2:14" ht="15.75">
      <c r="N174" s="62"/>
    </row>
    <row r="175" spans="2:14" ht="16.5" customHeight="1">
      <c r="B175" s="108" t="s">
        <v>154</v>
      </c>
      <c r="C175" s="108"/>
      <c r="D175" s="108"/>
      <c r="E175" s="108"/>
      <c r="F175" s="108"/>
      <c r="G175" s="109"/>
      <c r="H175" s="109"/>
      <c r="I175" s="110"/>
      <c r="J175" s="110"/>
      <c r="K175" s="110"/>
      <c r="L175" s="110"/>
      <c r="M175" s="110"/>
      <c r="N175" s="62"/>
    </row>
    <row r="176" spans="2:14" ht="15" customHeight="1">
      <c r="N176" s="62"/>
    </row>
    <row r="177" spans="2:14" ht="15.75">
      <c r="B177" s="35" t="s">
        <v>10</v>
      </c>
      <c r="C177" s="36"/>
      <c r="D177" s="36"/>
      <c r="E177" s="36"/>
      <c r="F177" s="37">
        <f>F$5</f>
        <v>2023</v>
      </c>
      <c r="G177" s="37">
        <f t="shared" ref="G177:M177" si="55">G$5</f>
        <v>2024</v>
      </c>
      <c r="H177" s="37">
        <f t="shared" si="55"/>
        <v>2025</v>
      </c>
      <c r="I177" s="38">
        <f t="shared" si="55"/>
        <v>2026</v>
      </c>
      <c r="J177" s="38">
        <f t="shared" si="55"/>
        <v>2027</v>
      </c>
      <c r="K177" s="38">
        <f t="shared" si="55"/>
        <v>2028</v>
      </c>
      <c r="L177" s="38">
        <f t="shared" si="55"/>
        <v>2029</v>
      </c>
      <c r="M177" s="38">
        <f t="shared" si="55"/>
        <v>2030</v>
      </c>
      <c r="N177" s="62"/>
    </row>
    <row r="178" spans="2:14" ht="15.75">
      <c r="N178" s="62"/>
    </row>
    <row r="179" spans="2:14" ht="15.75">
      <c r="B179" s="28" t="s">
        <v>124</v>
      </c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62"/>
    </row>
    <row r="180" spans="2:14" ht="15.75">
      <c r="B180" s="39" t="s">
        <v>35</v>
      </c>
      <c r="C180" s="41"/>
      <c r="D180" s="41"/>
      <c r="E180" s="41"/>
      <c r="F180" s="58">
        <f>F11</f>
        <v>10764</v>
      </c>
      <c r="G180" s="58">
        <f>G11</f>
        <v>7900</v>
      </c>
      <c r="H180" s="58">
        <f>H11</f>
        <v>7236</v>
      </c>
      <c r="I180" s="58">
        <f>I181*I192</f>
        <v>9847.8779999999988</v>
      </c>
      <c r="J180" s="58">
        <f>J181*J192</f>
        <v>10096.645374</v>
      </c>
      <c r="K180" s="58">
        <f>K181*K192</f>
        <v>10358.495497601998</v>
      </c>
      <c r="L180" s="58">
        <f>L181*L192</f>
        <v>10629.272801646845</v>
      </c>
      <c r="M180" s="58">
        <f>M181*M192</f>
        <v>10884.211416575781</v>
      </c>
      <c r="N180" s="62"/>
    </row>
    <row r="181" spans="2:14" ht="15.75">
      <c r="B181" s="39" t="s">
        <v>36</v>
      </c>
      <c r="C181" s="41"/>
      <c r="D181" s="41"/>
      <c r="E181" s="41"/>
      <c r="F181" s="83">
        <f>SUM(F183:F185,F186:F187)</f>
        <v>449700</v>
      </c>
      <c r="G181" s="83">
        <f>SUM(G183:G185,G186:G187)</f>
        <v>459100</v>
      </c>
      <c r="H181" s="83">
        <f>SUM(H183:H185,H186:H187)</f>
        <v>480600</v>
      </c>
      <c r="I181" s="93">
        <f>SUM(I182,I186:I188)</f>
        <v>492393.89999999997</v>
      </c>
      <c r="J181" s="93">
        <f>SUM(J182,J186:J188)</f>
        <v>504832.26869999996</v>
      </c>
      <c r="K181" s="93">
        <f>SUM(K182,K186:K188)</f>
        <v>517924.77488009993</v>
      </c>
      <c r="L181" s="93">
        <f>SUM(L182,L186:L188)</f>
        <v>531463.6400823422</v>
      </c>
      <c r="M181" s="93">
        <f>SUM(M182,M186:M188)</f>
        <v>544210.57082878903</v>
      </c>
      <c r="N181" s="62"/>
    </row>
    <row r="182" spans="2:14" ht="15.75">
      <c r="B182" s="77" t="s">
        <v>132</v>
      </c>
      <c r="C182" s="41"/>
      <c r="D182" s="41"/>
      <c r="E182" s="41"/>
      <c r="F182" s="58">
        <f>SUM(F183,F184,F185)</f>
        <v>361200</v>
      </c>
      <c r="G182" s="58">
        <f>SUM(G183,G184,G185)</f>
        <v>371500</v>
      </c>
      <c r="H182" s="58">
        <f>SUM(H183,H184,H185)</f>
        <v>390300</v>
      </c>
      <c r="I182" s="93">
        <f>H182*(1+I195)</f>
        <v>399276.89999999997</v>
      </c>
      <c r="J182" s="93">
        <f>I182*(1+J195)</f>
        <v>408460.26869999996</v>
      </c>
      <c r="K182" s="93">
        <f>J182*(1+K195)</f>
        <v>417854.85488009994</v>
      </c>
      <c r="L182" s="93">
        <f>K182*(1+L195)</f>
        <v>427465.5165423422</v>
      </c>
      <c r="M182" s="93">
        <f>L182*(1+M195)</f>
        <v>436014.82687318907</v>
      </c>
      <c r="N182" s="62"/>
    </row>
    <row r="183" spans="2:14" ht="15.75">
      <c r="B183" s="82" t="s">
        <v>134</v>
      </c>
      <c r="F183" s="86">
        <v>306200</v>
      </c>
      <c r="G183" s="86">
        <v>312300</v>
      </c>
      <c r="H183" s="86">
        <v>323100</v>
      </c>
      <c r="I183" s="93">
        <f t="shared" ref="I183:M185" si="56">H183/$H$182*$I$182</f>
        <v>330531.29999999993</v>
      </c>
      <c r="J183" s="93">
        <f t="shared" si="56"/>
        <v>338133.5198999999</v>
      </c>
      <c r="K183" s="93">
        <f t="shared" si="56"/>
        <v>345910.59085769986</v>
      </c>
      <c r="L183" s="93">
        <f t="shared" si="56"/>
        <v>353866.53444742691</v>
      </c>
      <c r="M183" s="93">
        <f t="shared" si="56"/>
        <v>362005.46473971772</v>
      </c>
      <c r="N183" s="62"/>
    </row>
    <row r="184" spans="2:14" ht="15.75">
      <c r="B184" s="82" t="s">
        <v>135</v>
      </c>
      <c r="F184" s="86">
        <v>23100</v>
      </c>
      <c r="G184" s="86">
        <v>26000</v>
      </c>
      <c r="H184" s="86">
        <v>29100</v>
      </c>
      <c r="I184" s="93">
        <f t="shared" si="56"/>
        <v>29769.3</v>
      </c>
      <c r="J184" s="93">
        <f t="shared" si="56"/>
        <v>30453.993899999998</v>
      </c>
      <c r="K184" s="93">
        <f t="shared" si="56"/>
        <v>31154.435759699998</v>
      </c>
      <c r="L184" s="93">
        <f t="shared" si="56"/>
        <v>31870.987782173099</v>
      </c>
      <c r="M184" s="93">
        <f t="shared" si="56"/>
        <v>32604.020501163075</v>
      </c>
      <c r="N184" s="62"/>
    </row>
    <row r="185" spans="2:14" ht="15.75">
      <c r="B185" s="82" t="s">
        <v>136</v>
      </c>
      <c r="F185" s="86">
        <v>31900</v>
      </c>
      <c r="G185" s="86">
        <v>33200</v>
      </c>
      <c r="H185" s="86">
        <v>38100</v>
      </c>
      <c r="I185" s="93">
        <f t="shared" si="56"/>
        <v>38976.299999999996</v>
      </c>
      <c r="J185" s="93">
        <f t="shared" si="56"/>
        <v>39872.754899999993</v>
      </c>
      <c r="K185" s="93">
        <f t="shared" si="56"/>
        <v>40789.828262699986</v>
      </c>
      <c r="L185" s="93">
        <f t="shared" si="56"/>
        <v>41727.994312742085</v>
      </c>
      <c r="M185" s="93">
        <f t="shared" si="56"/>
        <v>42687.73818193515</v>
      </c>
      <c r="N185" s="62"/>
    </row>
    <row r="186" spans="2:14" ht="15.75">
      <c r="B186" s="77" t="s">
        <v>133</v>
      </c>
      <c r="F186" s="86">
        <v>32900</v>
      </c>
      <c r="G186" s="86">
        <v>29700</v>
      </c>
      <c r="H186" s="86">
        <v>28300</v>
      </c>
      <c r="I186" s="93">
        <f>H186*(1+I197)</f>
        <v>28017</v>
      </c>
      <c r="J186" s="93">
        <f>I186*(1+J197)</f>
        <v>28017</v>
      </c>
      <c r="K186" s="93">
        <f>J186*(1+K197)</f>
        <v>28297.170000000002</v>
      </c>
      <c r="L186" s="93">
        <f>K186*(1+L197)</f>
        <v>28636.736040000003</v>
      </c>
      <c r="M186" s="93">
        <f>L186*(1+M197)</f>
        <v>29066.287080599999</v>
      </c>
      <c r="N186" s="62"/>
    </row>
    <row r="187" spans="2:14" ht="15.75">
      <c r="B187" s="77" t="s">
        <v>137</v>
      </c>
      <c r="C187" s="41"/>
      <c r="D187" s="41"/>
      <c r="E187" s="41"/>
      <c r="F187" s="85">
        <v>55600</v>
      </c>
      <c r="G187" s="85">
        <v>57900</v>
      </c>
      <c r="H187" s="85">
        <v>62000</v>
      </c>
      <c r="I187" s="93">
        <f>H187*(1+I199)</f>
        <v>65100</v>
      </c>
      <c r="J187" s="93">
        <f>I187*(1+J199)</f>
        <v>68355</v>
      </c>
      <c r="K187" s="93">
        <f>J187*(1+K199)</f>
        <v>71772.75</v>
      </c>
      <c r="L187" s="93">
        <f>K187*(1+L199)</f>
        <v>75361.387499999997</v>
      </c>
      <c r="M187" s="93">
        <f>L187*(1+M199)</f>
        <v>79129.456875000003</v>
      </c>
      <c r="N187" s="62"/>
    </row>
    <row r="188" spans="2:14" ht="15.75">
      <c r="B188" s="77" t="s">
        <v>142</v>
      </c>
      <c r="D188" s="41"/>
      <c r="E188" s="41"/>
      <c r="F188" s="86">
        <v>0</v>
      </c>
      <c r="G188" s="86">
        <v>0</v>
      </c>
      <c r="H188" s="86">
        <v>500</v>
      </c>
      <c r="I188" s="86">
        <v>0</v>
      </c>
      <c r="J188" s="86">
        <v>0</v>
      </c>
      <c r="K188" s="86">
        <v>0</v>
      </c>
      <c r="L188" s="86">
        <v>0</v>
      </c>
      <c r="M188" s="86">
        <v>0</v>
      </c>
      <c r="N188" s="62"/>
    </row>
    <row r="189" spans="2:14" ht="15.75">
      <c r="B189" s="28" t="s">
        <v>139</v>
      </c>
      <c r="C189" s="28"/>
      <c r="F189" s="101">
        <f t="shared" ref="F189:M189" si="57">F180+F181</f>
        <v>460464</v>
      </c>
      <c r="G189" s="101">
        <f t="shared" si="57"/>
        <v>467000</v>
      </c>
      <c r="H189" s="101">
        <f t="shared" si="57"/>
        <v>487836</v>
      </c>
      <c r="I189" s="101">
        <f t="shared" si="57"/>
        <v>502241.77799999999</v>
      </c>
      <c r="J189" s="94">
        <f t="shared" si="57"/>
        <v>514928.91407399997</v>
      </c>
      <c r="K189" s="94">
        <f t="shared" si="57"/>
        <v>528283.27037770196</v>
      </c>
      <c r="L189" s="94">
        <f t="shared" si="57"/>
        <v>542092.91288398905</v>
      </c>
      <c r="M189" s="94">
        <f t="shared" si="57"/>
        <v>555094.78224536486</v>
      </c>
      <c r="N189" s="62"/>
    </row>
    <row r="190" spans="2:14" ht="15.75">
      <c r="N190" s="62"/>
    </row>
    <row r="191" spans="2:14" ht="15.75">
      <c r="B191" s="87" t="s">
        <v>35</v>
      </c>
      <c r="C191" s="41"/>
      <c r="F191" s="58"/>
      <c r="G191" s="58"/>
      <c r="H191" s="58"/>
      <c r="I191" s="58"/>
      <c r="J191" s="58"/>
      <c r="K191" s="58"/>
      <c r="L191" s="58"/>
      <c r="M191" s="58"/>
      <c r="N191" s="62"/>
    </row>
    <row r="192" spans="2:14" ht="15.75">
      <c r="B192" s="39" t="s">
        <v>138</v>
      </c>
      <c r="F192" s="91">
        <f>F180/F181</f>
        <v>2.3935957304869915E-2</v>
      </c>
      <c r="G192" s="91">
        <f>G180/G181</f>
        <v>1.7207580047919842E-2</v>
      </c>
      <c r="H192" s="91">
        <f>H180/H181</f>
        <v>1.50561797752809E-2</v>
      </c>
      <c r="I192" s="92">
        <v>0.02</v>
      </c>
      <c r="J192" s="92">
        <v>0.02</v>
      </c>
      <c r="K192" s="92">
        <v>0.02</v>
      </c>
      <c r="L192" s="92">
        <v>0.02</v>
      </c>
      <c r="M192" s="92">
        <v>0.02</v>
      </c>
      <c r="N192" s="62"/>
    </row>
    <row r="193" spans="2:14" ht="15.75">
      <c r="B193" s="87" t="s">
        <v>36</v>
      </c>
      <c r="F193" s="84"/>
      <c r="G193" s="84"/>
      <c r="H193" s="84"/>
      <c r="I193" s="84"/>
      <c r="J193" s="84"/>
      <c r="K193" s="84"/>
      <c r="L193" s="84"/>
      <c r="M193" s="84"/>
      <c r="N193" s="62"/>
    </row>
    <row r="194" spans="2:14" ht="15.75">
      <c r="B194" s="77" t="s">
        <v>132</v>
      </c>
      <c r="N194" s="62"/>
    </row>
    <row r="195" spans="2:14" ht="15.75">
      <c r="B195" s="88" t="s">
        <v>125</v>
      </c>
      <c r="C195" s="77"/>
      <c r="D195" s="77"/>
      <c r="E195" s="77"/>
      <c r="F195" s="89" t="str">
        <f>IFERROR(F182/E182-1,"NA")</f>
        <v>NA</v>
      </c>
      <c r="G195" s="89">
        <f>IFERROR(G182/F182-1,"NA")</f>
        <v>2.8516057585824983E-2</v>
      </c>
      <c r="H195" s="89">
        <f>IFERROR(H182/G182-1,"NA")</f>
        <v>5.0605652759084796E-2</v>
      </c>
      <c r="I195" s="90">
        <v>2.3E-2</v>
      </c>
      <c r="J195" s="90">
        <v>2.3E-2</v>
      </c>
      <c r="K195" s="90">
        <v>2.3E-2</v>
      </c>
      <c r="L195" s="90">
        <v>2.3E-2</v>
      </c>
      <c r="M195" s="90">
        <v>0.02</v>
      </c>
      <c r="N195" s="62"/>
    </row>
    <row r="196" spans="2:14">
      <c r="B196" s="77" t="s">
        <v>133</v>
      </c>
    </row>
    <row r="197" spans="2:14">
      <c r="B197" s="88" t="s">
        <v>125</v>
      </c>
      <c r="C197" s="77"/>
      <c r="D197" s="77"/>
      <c r="E197" s="77"/>
      <c r="F197" s="89" t="str">
        <f>IFERROR(F186/E186-1,"NA")</f>
        <v>NA</v>
      </c>
      <c r="G197" s="89">
        <f>IFERROR(G186/F186-1,"NA")</f>
        <v>-9.7264437689969618E-2</v>
      </c>
      <c r="H197" s="89">
        <f>IFERROR(H186/G186-1,"NA")</f>
        <v>-4.7138047138047146E-2</v>
      </c>
      <c r="I197" s="90">
        <v>-0.01</v>
      </c>
      <c r="J197" s="90">
        <v>0</v>
      </c>
      <c r="K197" s="90">
        <v>0.01</v>
      </c>
      <c r="L197" s="90">
        <v>1.2E-2</v>
      </c>
      <c r="M197" s="90">
        <v>1.4999999999999999E-2</v>
      </c>
    </row>
    <row r="198" spans="2:14">
      <c r="B198" s="77" t="s">
        <v>137</v>
      </c>
    </row>
    <row r="199" spans="2:14">
      <c r="B199" s="88" t="s">
        <v>125</v>
      </c>
      <c r="C199" s="77"/>
      <c r="D199" s="77"/>
      <c r="E199" s="77"/>
      <c r="F199" s="78" t="str">
        <f>IFERROR(F187/E187-1,"NA")</f>
        <v>NA</v>
      </c>
      <c r="G199" s="78">
        <f>IFERROR(G187/F187-1,"NA")</f>
        <v>4.1366906474820109E-2</v>
      </c>
      <c r="H199" s="78">
        <f>IFERROR(H187/G187-1,"NA")</f>
        <v>7.0811744386873876E-2</v>
      </c>
      <c r="I199" s="97">
        <v>0.05</v>
      </c>
      <c r="J199" s="97">
        <v>0.05</v>
      </c>
      <c r="K199" s="97">
        <v>0.05</v>
      </c>
      <c r="L199" s="97">
        <v>0.05</v>
      </c>
      <c r="M199" s="97">
        <v>0.05</v>
      </c>
    </row>
    <row r="200" spans="2:14">
      <c r="B200" s="39" t="s">
        <v>179</v>
      </c>
      <c r="C200" s="77"/>
      <c r="D200" s="77"/>
      <c r="E200" s="77"/>
      <c r="F200" s="80">
        <f>IFERROR(F201/F189,"NA")</f>
        <v>6.091898606622885E-2</v>
      </c>
      <c r="G200" s="80">
        <f>IFERROR(G201/((G189+F189)/2),"NA")</f>
        <v>6.7470004226579144E-2</v>
      </c>
      <c r="H200" s="80">
        <f>IFERROR(H201/((H189+G189)/2),"NA")</f>
        <v>6.4406871965447476E-2</v>
      </c>
      <c r="I200" s="97">
        <v>6.3E-2</v>
      </c>
      <c r="J200" s="97">
        <v>6.2E-2</v>
      </c>
      <c r="K200" s="97">
        <v>6.0999999999999999E-2</v>
      </c>
      <c r="L200" s="97">
        <v>0.06</v>
      </c>
      <c r="M200" s="97">
        <v>0.06</v>
      </c>
    </row>
    <row r="201" spans="2:14">
      <c r="B201" s="51" t="s">
        <v>30</v>
      </c>
      <c r="C201" s="70"/>
      <c r="D201" s="70"/>
      <c r="E201" s="70"/>
      <c r="F201" s="94">
        <f>F47</f>
        <v>28051</v>
      </c>
      <c r="G201" s="94">
        <f>G47</f>
        <v>31288</v>
      </c>
      <c r="H201" s="94">
        <f>H47</f>
        <v>30749</v>
      </c>
      <c r="I201" s="95">
        <f>(I189+H189)/2*I200</f>
        <v>31187.450006999999</v>
      </c>
      <c r="J201" s="95">
        <f>(J189+I189)/2*J200</f>
        <v>31532.291454293998</v>
      </c>
      <c r="K201" s="95">
        <f>(K189+J189)/2*K200</f>
        <v>31817.971625776907</v>
      </c>
      <c r="L201" s="95">
        <f>(L189+K189)/2*L200</f>
        <v>32111.285497850731</v>
      </c>
      <c r="M201" s="95">
        <f>(M189+L189)/2*M200</f>
        <v>32915.630853880619</v>
      </c>
    </row>
    <row r="203" spans="2:14" ht="15.75">
      <c r="B203" s="108" t="s">
        <v>155</v>
      </c>
      <c r="C203" s="108"/>
      <c r="D203" s="108"/>
      <c r="E203" s="108"/>
      <c r="F203" s="108"/>
      <c r="G203" s="109"/>
      <c r="H203" s="109"/>
      <c r="I203" s="110"/>
      <c r="J203" s="110"/>
      <c r="K203" s="110"/>
      <c r="L203" s="110"/>
      <c r="M203" s="110"/>
    </row>
    <row r="205" spans="2:14">
      <c r="B205" s="35" t="s">
        <v>10</v>
      </c>
      <c r="C205" s="36"/>
      <c r="D205" s="36"/>
      <c r="E205" s="36"/>
      <c r="F205" s="37">
        <f>F$5</f>
        <v>2023</v>
      </c>
      <c r="G205" s="37">
        <f t="shared" ref="G205:M205" si="58">G$5</f>
        <v>2024</v>
      </c>
      <c r="H205" s="37">
        <f t="shared" si="58"/>
        <v>2025</v>
      </c>
      <c r="I205" s="38">
        <f t="shared" si="58"/>
        <v>2026</v>
      </c>
      <c r="J205" s="38">
        <f t="shared" si="58"/>
        <v>2027</v>
      </c>
      <c r="K205" s="38">
        <f t="shared" si="58"/>
        <v>2028</v>
      </c>
      <c r="L205" s="38">
        <f t="shared" si="58"/>
        <v>2029</v>
      </c>
      <c r="M205" s="38">
        <f t="shared" si="58"/>
        <v>2030</v>
      </c>
    </row>
    <row r="207" spans="2:14">
      <c r="B207" s="28" t="s">
        <v>128</v>
      </c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</row>
    <row r="208" spans="2:14">
      <c r="B208" s="39" t="s">
        <v>132</v>
      </c>
      <c r="C208" s="41"/>
      <c r="D208" s="41"/>
      <c r="E208" s="41"/>
      <c r="F208" s="86">
        <v>308400</v>
      </c>
      <c r="G208" s="86">
        <v>319700</v>
      </c>
      <c r="H208" s="86">
        <v>325200</v>
      </c>
      <c r="I208" s="58">
        <f t="shared" ref="I208:M209" si="59">H208*(1+I216)</f>
        <v>333330</v>
      </c>
      <c r="J208" s="58">
        <f t="shared" si="59"/>
        <v>341663.24999999994</v>
      </c>
      <c r="K208" s="58">
        <f t="shared" si="59"/>
        <v>350204.83124999993</v>
      </c>
      <c r="L208" s="58">
        <f t="shared" si="59"/>
        <v>358959.95203124988</v>
      </c>
      <c r="M208" s="58">
        <f t="shared" si="59"/>
        <v>364344.35131171858</v>
      </c>
    </row>
    <row r="209" spans="2:13">
      <c r="B209" s="39" t="s">
        <v>140</v>
      </c>
      <c r="F209" s="86">
        <v>162800</v>
      </c>
      <c r="G209" s="86">
        <v>162600</v>
      </c>
      <c r="H209" s="86">
        <v>171100</v>
      </c>
      <c r="I209" s="58">
        <f t="shared" si="59"/>
        <v>176233</v>
      </c>
      <c r="J209" s="58">
        <f t="shared" si="59"/>
        <v>181519.99</v>
      </c>
      <c r="K209" s="58">
        <f t="shared" si="59"/>
        <v>186057.98974999998</v>
      </c>
      <c r="L209" s="58">
        <f t="shared" si="59"/>
        <v>190709.43949374996</v>
      </c>
      <c r="M209" s="58">
        <f t="shared" si="59"/>
        <v>194523.62828362497</v>
      </c>
    </row>
    <row r="210" spans="2:13">
      <c r="B210" s="39" t="s">
        <v>142</v>
      </c>
      <c r="F210" s="86">
        <v>200</v>
      </c>
      <c r="G210" s="86">
        <v>400</v>
      </c>
      <c r="H210" s="86">
        <v>200</v>
      </c>
      <c r="I210" s="86">
        <v>200</v>
      </c>
      <c r="J210" s="86">
        <v>200</v>
      </c>
      <c r="K210" s="86">
        <v>200</v>
      </c>
      <c r="L210" s="86">
        <v>200</v>
      </c>
      <c r="M210" s="86">
        <v>200</v>
      </c>
    </row>
    <row r="211" spans="2:13">
      <c r="B211" s="28" t="s">
        <v>148</v>
      </c>
      <c r="F211" s="106">
        <f t="shared" ref="F211:M211" si="60">SUM(F208:F210)</f>
        <v>471400</v>
      </c>
      <c r="G211" s="106">
        <f t="shared" si="60"/>
        <v>482700</v>
      </c>
      <c r="H211" s="106">
        <f t="shared" si="60"/>
        <v>496500</v>
      </c>
      <c r="I211" s="106">
        <f t="shared" si="60"/>
        <v>509763</v>
      </c>
      <c r="J211" s="106">
        <f t="shared" si="60"/>
        <v>523383.23999999993</v>
      </c>
      <c r="K211" s="106">
        <f t="shared" si="60"/>
        <v>536462.82099999988</v>
      </c>
      <c r="L211" s="106">
        <f t="shared" si="60"/>
        <v>549869.39152499987</v>
      </c>
      <c r="M211" s="106">
        <f t="shared" si="60"/>
        <v>559067.97959534358</v>
      </c>
    </row>
    <row r="212" spans="2:13">
      <c r="B212" s="39" t="s">
        <v>146</v>
      </c>
      <c r="C212" s="76"/>
      <c r="D212" s="76"/>
      <c r="E212" s="76"/>
      <c r="F212" s="103">
        <f>F21</f>
        <v>6153</v>
      </c>
      <c r="G212" s="103">
        <f>G21</f>
        <v>6158</v>
      </c>
      <c r="H212" s="103">
        <f>H21</f>
        <v>5779</v>
      </c>
      <c r="I212" s="103">
        <f>I211*I213</f>
        <v>6626.9189999999999</v>
      </c>
      <c r="J212" s="103">
        <f>J211*J213</f>
        <v>6803.9821199999988</v>
      </c>
      <c r="K212" s="103">
        <f>K211*K213</f>
        <v>6974.0166729999983</v>
      </c>
      <c r="L212" s="103">
        <f>L211*L213</f>
        <v>7148.3020898249979</v>
      </c>
      <c r="M212" s="103">
        <f>M211*M213</f>
        <v>7267.8837347394665</v>
      </c>
    </row>
    <row r="213" spans="2:13">
      <c r="B213" s="39" t="s">
        <v>147</v>
      </c>
      <c r="C213" s="76"/>
      <c r="D213" s="76"/>
      <c r="E213" s="76"/>
      <c r="F213" s="104">
        <f>F21/F211</f>
        <v>1.3052609249045397E-2</v>
      </c>
      <c r="G213" s="104">
        <f>G21/G211</f>
        <v>1.2757406256474001E-2</v>
      </c>
      <c r="H213" s="104">
        <f>H21/H211</f>
        <v>1.1639476334340383E-2</v>
      </c>
      <c r="I213" s="105">
        <v>1.2999999999999999E-2</v>
      </c>
      <c r="J213" s="105">
        <v>1.2999999999999999E-2</v>
      </c>
      <c r="K213" s="105">
        <v>1.2999999999999999E-2</v>
      </c>
      <c r="L213" s="105">
        <v>1.2999999999999999E-2</v>
      </c>
      <c r="M213" s="105">
        <v>1.2999999999999999E-2</v>
      </c>
    </row>
    <row r="214" spans="2:13">
      <c r="B214" s="107" t="s">
        <v>141</v>
      </c>
      <c r="F214" s="94">
        <f t="shared" ref="F214:M214" si="61">F211+F212</f>
        <v>477553</v>
      </c>
      <c r="G214" s="94">
        <f t="shared" si="61"/>
        <v>488858</v>
      </c>
      <c r="H214" s="94">
        <f t="shared" si="61"/>
        <v>502279</v>
      </c>
      <c r="I214" s="94">
        <f t="shared" si="61"/>
        <v>516389.91899999999</v>
      </c>
      <c r="J214" s="94">
        <f t="shared" si="61"/>
        <v>530187.22211999993</v>
      </c>
      <c r="K214" s="94">
        <f t="shared" si="61"/>
        <v>543436.83767299983</v>
      </c>
      <c r="L214" s="94">
        <f t="shared" si="61"/>
        <v>557017.69361482491</v>
      </c>
      <c r="M214" s="94">
        <f t="shared" si="61"/>
        <v>566335.86333008308</v>
      </c>
    </row>
    <row r="216" spans="2:13">
      <c r="B216" s="39" t="s">
        <v>144</v>
      </c>
      <c r="C216" s="41"/>
      <c r="D216" s="41"/>
      <c r="E216" s="41"/>
      <c r="F216" s="78" t="str">
        <f t="shared" ref="F216:H217" si="62">IFERROR(F208/E208-1,"NA")</f>
        <v>NA</v>
      </c>
      <c r="G216" s="96">
        <f t="shared" si="62"/>
        <v>3.6640726329442375E-2</v>
      </c>
      <c r="H216" s="96">
        <f t="shared" si="62"/>
        <v>1.7203628401626592E-2</v>
      </c>
      <c r="I216" s="97">
        <v>2.5000000000000001E-2</v>
      </c>
      <c r="J216" s="97">
        <v>2.5000000000000001E-2</v>
      </c>
      <c r="K216" s="97">
        <v>2.5000000000000001E-2</v>
      </c>
      <c r="L216" s="97">
        <v>2.5000000000000001E-2</v>
      </c>
      <c r="M216" s="97">
        <v>1.4999999999999999E-2</v>
      </c>
    </row>
    <row r="217" spans="2:13">
      <c r="B217" s="39" t="s">
        <v>145</v>
      </c>
      <c r="C217" s="41"/>
      <c r="D217" s="41"/>
      <c r="E217" s="41"/>
      <c r="F217" s="78" t="str">
        <f t="shared" si="62"/>
        <v>NA</v>
      </c>
      <c r="G217" s="96">
        <f t="shared" si="62"/>
        <v>-1.2285012285012664E-3</v>
      </c>
      <c r="H217" s="96">
        <f t="shared" si="62"/>
        <v>5.2275522755227621E-2</v>
      </c>
      <c r="I217" s="97">
        <v>0.03</v>
      </c>
      <c r="J217" s="97">
        <v>0.03</v>
      </c>
      <c r="K217" s="97">
        <v>2.5000000000000001E-2</v>
      </c>
      <c r="L217" s="97">
        <v>2.5000000000000001E-2</v>
      </c>
      <c r="M217" s="97">
        <v>0.02</v>
      </c>
    </row>
    <row r="219" spans="2:13">
      <c r="B219" s="28" t="s">
        <v>143</v>
      </c>
      <c r="F219" s="99">
        <f t="shared" ref="F219:M219" si="63">F189/F211</f>
        <v>0.97680101824352994</v>
      </c>
      <c r="G219" s="99">
        <f t="shared" si="63"/>
        <v>0.96747462191837585</v>
      </c>
      <c r="H219" s="99">
        <f t="shared" si="63"/>
        <v>0.98254984894259823</v>
      </c>
      <c r="I219" s="99">
        <f t="shared" si="63"/>
        <v>0.9852456494488615</v>
      </c>
      <c r="J219" s="99">
        <f t="shared" si="63"/>
        <v>0.98384677750475935</v>
      </c>
      <c r="K219" s="99">
        <f t="shared" si="63"/>
        <v>0.98475280988335645</v>
      </c>
      <c r="L219" s="99">
        <f t="shared" si="63"/>
        <v>0.98585758952786284</v>
      </c>
      <c r="M219" s="99">
        <f t="shared" si="63"/>
        <v>0.99289317668871946</v>
      </c>
    </row>
    <row r="221" spans="2:13">
      <c r="B221" s="39" t="s">
        <v>129</v>
      </c>
      <c r="C221" s="41"/>
      <c r="D221" s="41"/>
      <c r="E221" s="41"/>
      <c r="F221" s="86">
        <f>F23+F26+F29</f>
        <v>136122</v>
      </c>
      <c r="G221" s="86">
        <f>G23+G26+G29</f>
        <v>139238</v>
      </c>
      <c r="H221" s="86">
        <f>H23+H26+H29</f>
        <v>127086</v>
      </c>
      <c r="I221" s="58">
        <f>I189*I222</f>
        <v>140627.69784000001</v>
      </c>
      <c r="J221" s="58">
        <f>J189*J222</f>
        <v>144180.09594072</v>
      </c>
      <c r="K221" s="58">
        <f>K189*K222</f>
        <v>147919.31570575657</v>
      </c>
      <c r="L221" s="58">
        <f>L189*L222</f>
        <v>151786.01560751695</v>
      </c>
      <c r="M221" s="58">
        <f>M189*M222</f>
        <v>155426.53902870219</v>
      </c>
    </row>
    <row r="222" spans="2:13">
      <c r="B222" s="39" t="s">
        <v>149</v>
      </c>
      <c r="F222" s="91">
        <f>F221/F189</f>
        <v>0.29561920150109455</v>
      </c>
      <c r="G222" s="91">
        <f>G221/G189</f>
        <v>0.29815417558886509</v>
      </c>
      <c r="H222" s="91">
        <f>H221/H189</f>
        <v>0.26050967948244902</v>
      </c>
      <c r="I222" s="92">
        <v>0.28000000000000003</v>
      </c>
      <c r="J222" s="92">
        <v>0.28000000000000003</v>
      </c>
      <c r="K222" s="92">
        <v>0.28000000000000003</v>
      </c>
      <c r="L222" s="92">
        <v>0.28000000000000003</v>
      </c>
      <c r="M222" s="92">
        <v>0.28000000000000003</v>
      </c>
    </row>
    <row r="223" spans="2:13">
      <c r="B223" s="39" t="s">
        <v>130</v>
      </c>
      <c r="C223" s="41"/>
      <c r="D223" s="41"/>
      <c r="E223" s="41"/>
      <c r="F223" s="58">
        <f t="shared" ref="F223:M223" si="64">F214</f>
        <v>477553</v>
      </c>
      <c r="G223" s="58">
        <f t="shared" si="64"/>
        <v>488858</v>
      </c>
      <c r="H223" s="58">
        <f t="shared" si="64"/>
        <v>502279</v>
      </c>
      <c r="I223" s="58">
        <f t="shared" si="64"/>
        <v>516389.91899999999</v>
      </c>
      <c r="J223" s="58">
        <f t="shared" si="64"/>
        <v>530187.22211999993</v>
      </c>
      <c r="K223" s="58">
        <f t="shared" si="64"/>
        <v>543436.83767299983</v>
      </c>
      <c r="L223" s="58">
        <f t="shared" si="64"/>
        <v>557017.69361482491</v>
      </c>
      <c r="M223" s="58">
        <f t="shared" si="64"/>
        <v>566335.86333008308</v>
      </c>
    </row>
    <row r="224" spans="2:13">
      <c r="B224" s="39" t="s">
        <v>178</v>
      </c>
      <c r="C224" s="41"/>
      <c r="D224" s="41"/>
      <c r="E224" s="41"/>
      <c r="F224" s="80" t="str">
        <f>IFERROR(F225/E223,"NA")</f>
        <v>NA</v>
      </c>
      <c r="G224" s="80">
        <f>IFERROR(G225/F223,"NA")</f>
        <v>3.9809193953341301E-2</v>
      </c>
      <c r="H224" s="80">
        <f>IFERROR(H225/G223,"NA")</f>
        <v>3.5836582402251779E-2</v>
      </c>
      <c r="I224" s="79">
        <v>3.5000000000000003E-2</v>
      </c>
      <c r="J224" s="79">
        <v>3.5000000000000003E-2</v>
      </c>
      <c r="K224" s="79">
        <v>3.4000000000000002E-2</v>
      </c>
      <c r="L224" s="79">
        <v>3.3000000000000002E-2</v>
      </c>
      <c r="M224" s="79">
        <v>3.3000000000000002E-2</v>
      </c>
    </row>
    <row r="225" spans="2:13">
      <c r="B225" s="70" t="s">
        <v>31</v>
      </c>
      <c r="C225" s="41"/>
      <c r="D225" s="41"/>
      <c r="E225" s="41"/>
      <c r="F225" s="94">
        <f>-F48</f>
        <v>14753</v>
      </c>
      <c r="G225" s="94">
        <f>-G48</f>
        <v>19011</v>
      </c>
      <c r="H225" s="94">
        <f>-H48</f>
        <v>17519</v>
      </c>
      <c r="I225" s="94">
        <f>I223*I224</f>
        <v>18073.647165000002</v>
      </c>
      <c r="J225" s="94">
        <f>J223*J224</f>
        <v>18556.552774199998</v>
      </c>
      <c r="K225" s="94">
        <f>K223*K224</f>
        <v>18476.852480881997</v>
      </c>
      <c r="L225" s="94">
        <f>L223*L224</f>
        <v>18381.583889289224</v>
      </c>
      <c r="M225" s="94">
        <f>M223*M224</f>
        <v>18689.083489892742</v>
      </c>
    </row>
    <row r="227" spans="2:13" ht="16.5" customHeight="1">
      <c r="B227" s="108" t="s">
        <v>151</v>
      </c>
      <c r="C227" s="108"/>
      <c r="D227" s="108"/>
      <c r="E227" s="108"/>
      <c r="F227" s="108"/>
      <c r="G227" s="109"/>
      <c r="H227" s="109"/>
      <c r="I227" s="110"/>
      <c r="J227" s="110"/>
      <c r="K227" s="110"/>
      <c r="L227" s="110"/>
      <c r="M227" s="110"/>
    </row>
    <row r="229" spans="2:13">
      <c r="B229" s="35" t="s">
        <v>10</v>
      </c>
      <c r="C229" s="36"/>
      <c r="D229" s="36"/>
      <c r="E229" s="36"/>
      <c r="F229" s="37">
        <f>F$5</f>
        <v>2023</v>
      </c>
      <c r="G229" s="37">
        <f t="shared" ref="G229:M229" si="65">G$5</f>
        <v>2024</v>
      </c>
      <c r="H229" s="37">
        <f t="shared" si="65"/>
        <v>2025</v>
      </c>
      <c r="I229" s="38">
        <f t="shared" si="65"/>
        <v>2026</v>
      </c>
      <c r="J229" s="38">
        <f t="shared" si="65"/>
        <v>2027</v>
      </c>
      <c r="K229" s="38">
        <f t="shared" si="65"/>
        <v>2028</v>
      </c>
      <c r="L229" s="38">
        <f t="shared" si="65"/>
        <v>2029</v>
      </c>
      <c r="M229" s="38">
        <f t="shared" si="65"/>
        <v>2030</v>
      </c>
    </row>
    <row r="231" spans="2:13">
      <c r="B231" s="39" t="s">
        <v>152</v>
      </c>
      <c r="C231" s="41"/>
      <c r="D231" s="41"/>
      <c r="E231" s="41"/>
      <c r="F231" s="86">
        <f>12530+F16</f>
        <v>20836</v>
      </c>
      <c r="G231" s="86">
        <f>12530+G16</f>
        <v>20718</v>
      </c>
      <c r="H231" s="86">
        <f>12530+H16</f>
        <v>21123</v>
      </c>
      <c r="I231" s="58">
        <f>H234</f>
        <v>22762</v>
      </c>
      <c r="J231" s="58">
        <f>I234</f>
        <v>24362</v>
      </c>
      <c r="K231" s="58">
        <f>J234</f>
        <v>24962</v>
      </c>
      <c r="L231" s="58">
        <f>K234</f>
        <v>25362</v>
      </c>
      <c r="M231" s="58">
        <f>L234</f>
        <v>25462</v>
      </c>
    </row>
    <row r="232" spans="2:13">
      <c r="B232" s="39" t="s">
        <v>126</v>
      </c>
      <c r="C232" s="41"/>
      <c r="D232" s="41"/>
      <c r="E232" s="81"/>
      <c r="F232" s="86">
        <v>2787</v>
      </c>
      <c r="G232" s="86">
        <v>3831</v>
      </c>
      <c r="H232" s="86">
        <v>5116</v>
      </c>
      <c r="I232" s="102">
        <v>5200</v>
      </c>
      <c r="J232" s="102">
        <v>4500</v>
      </c>
      <c r="K232" s="102">
        <v>4000</v>
      </c>
      <c r="L232" s="102">
        <v>3500</v>
      </c>
      <c r="M232" s="102">
        <v>3200</v>
      </c>
    </row>
    <row r="233" spans="2:13">
      <c r="B233" s="39" t="s">
        <v>153</v>
      </c>
      <c r="C233" s="41"/>
      <c r="D233" s="41"/>
      <c r="E233" s="81"/>
      <c r="F233" s="58">
        <f>-F66</f>
        <v>2905</v>
      </c>
      <c r="G233" s="58">
        <f>-G66</f>
        <v>3426</v>
      </c>
      <c r="H233" s="58">
        <f>-H66</f>
        <v>3477</v>
      </c>
      <c r="I233" s="102">
        <v>3600</v>
      </c>
      <c r="J233" s="102">
        <v>3900</v>
      </c>
      <c r="K233" s="102">
        <v>3600</v>
      </c>
      <c r="L233" s="102">
        <v>3400</v>
      </c>
      <c r="M233" s="102">
        <v>2800</v>
      </c>
    </row>
    <row r="234" spans="2:13">
      <c r="B234" s="39" t="s">
        <v>127</v>
      </c>
      <c r="C234" s="41"/>
      <c r="D234" s="41"/>
      <c r="E234" s="41"/>
      <c r="F234" s="58">
        <f t="shared" ref="F234:M234" si="66">F231+F232-F233</f>
        <v>20718</v>
      </c>
      <c r="G234" s="58">
        <f t="shared" si="66"/>
        <v>21123</v>
      </c>
      <c r="H234" s="58">
        <f t="shared" si="66"/>
        <v>22762</v>
      </c>
      <c r="I234" s="58">
        <f t="shared" si="66"/>
        <v>24362</v>
      </c>
      <c r="J234" s="58">
        <f t="shared" si="66"/>
        <v>24962</v>
      </c>
      <c r="K234" s="58">
        <f t="shared" si="66"/>
        <v>25362</v>
      </c>
      <c r="L234" s="58">
        <f t="shared" si="66"/>
        <v>25462</v>
      </c>
      <c r="M234" s="58">
        <f t="shared" si="66"/>
        <v>25862</v>
      </c>
    </row>
    <row r="235" spans="2:13">
      <c r="B235" s="39"/>
      <c r="C235" s="41"/>
      <c r="D235" s="41"/>
      <c r="E235" s="41"/>
      <c r="F235" s="58"/>
      <c r="G235" s="58"/>
      <c r="H235" s="58"/>
      <c r="I235" s="58"/>
      <c r="J235" s="58"/>
      <c r="K235" s="58"/>
      <c r="L235" s="58"/>
      <c r="M235" s="58"/>
    </row>
    <row r="236" spans="2:13" ht="16.5" customHeight="1">
      <c r="B236" s="108" t="s">
        <v>169</v>
      </c>
      <c r="C236" s="108"/>
      <c r="D236" s="108"/>
      <c r="E236" s="108"/>
      <c r="F236" s="108"/>
      <c r="G236" s="109"/>
      <c r="H236" s="109"/>
      <c r="I236" s="110"/>
      <c r="J236" s="110"/>
      <c r="K236" s="110"/>
      <c r="L236" s="110"/>
      <c r="M236" s="110"/>
    </row>
    <row r="238" spans="2:13">
      <c r="B238" s="35" t="s">
        <v>10</v>
      </c>
      <c r="C238" s="36"/>
      <c r="D238" s="36"/>
      <c r="E238" s="36"/>
      <c r="F238" s="37">
        <f>F$5</f>
        <v>2023</v>
      </c>
      <c r="G238" s="37">
        <f t="shared" ref="G238:M238" si="67">G$5</f>
        <v>2024</v>
      </c>
      <c r="H238" s="37">
        <f t="shared" si="67"/>
        <v>2025</v>
      </c>
      <c r="I238" s="38">
        <f t="shared" si="67"/>
        <v>2026</v>
      </c>
      <c r="J238" s="38">
        <f t="shared" si="67"/>
        <v>2027</v>
      </c>
      <c r="K238" s="38">
        <f t="shared" si="67"/>
        <v>2028</v>
      </c>
      <c r="L238" s="38">
        <f t="shared" si="67"/>
        <v>2029</v>
      </c>
      <c r="M238" s="38">
        <f t="shared" si="67"/>
        <v>2030</v>
      </c>
    </row>
    <row r="239" spans="2:13">
      <c r="E239" s="41"/>
      <c r="F239" s="98"/>
      <c r="G239" s="98"/>
      <c r="H239" s="98"/>
      <c r="I239" s="98"/>
      <c r="J239" s="98"/>
      <c r="K239" s="98"/>
      <c r="L239" s="98"/>
      <c r="M239" s="98"/>
    </row>
    <row r="240" spans="2:13">
      <c r="B240" s="28" t="s">
        <v>62</v>
      </c>
      <c r="D240" s="41"/>
      <c r="F240" s="58">
        <f t="shared" ref="F240:M240" si="68">F73</f>
        <v>7503</v>
      </c>
      <c r="G240" s="58">
        <f t="shared" si="68"/>
        <v>5971</v>
      </c>
      <c r="H240" s="58">
        <f t="shared" si="68"/>
        <v>6661</v>
      </c>
      <c r="I240" s="58">
        <f t="shared" si="68"/>
        <v>7183.2972427999957</v>
      </c>
      <c r="J240" s="58">
        <f t="shared" si="68"/>
        <v>6852.0941307604007</v>
      </c>
      <c r="K240" s="58">
        <f t="shared" si="68"/>
        <v>7477.1592296546369</v>
      </c>
      <c r="L240" s="58">
        <f t="shared" si="68"/>
        <v>7832.3483220498674</v>
      </c>
      <c r="M240" s="58">
        <f t="shared" si="68"/>
        <v>8744.2610290739321</v>
      </c>
    </row>
    <row r="241" spans="2:19">
      <c r="B241" s="39" t="s">
        <v>171</v>
      </c>
      <c r="F241" s="98">
        <f>F242/F240</f>
        <v>0.26456084232973476</v>
      </c>
      <c r="G241" s="98">
        <f>G242/G240</f>
        <v>0.2502093451683135</v>
      </c>
      <c r="H241" s="98">
        <f>H242/H240</f>
        <v>0.28584296652154328</v>
      </c>
      <c r="I241" s="113">
        <v>0.26</v>
      </c>
      <c r="J241" s="113">
        <v>0.26</v>
      </c>
      <c r="K241" s="113">
        <v>0.26</v>
      </c>
      <c r="L241" s="113">
        <v>0.26</v>
      </c>
      <c r="M241" s="113">
        <v>0.26</v>
      </c>
    </row>
    <row r="242" spans="2:19">
      <c r="B242" s="28" t="s">
        <v>170</v>
      </c>
      <c r="F242" s="120">
        <f>-F74</f>
        <v>1985</v>
      </c>
      <c r="G242" s="120">
        <f>-G74</f>
        <v>1494</v>
      </c>
      <c r="H242" s="120">
        <f>-H74</f>
        <v>1904</v>
      </c>
      <c r="I242" s="120">
        <f>I240*I241</f>
        <v>1867.6572831279989</v>
      </c>
      <c r="J242" s="120">
        <f>J240*J241</f>
        <v>1781.5444739977042</v>
      </c>
      <c r="K242" s="120">
        <f>K240*K241</f>
        <v>1944.0613997102057</v>
      </c>
      <c r="L242" s="120">
        <f>L240*L241</f>
        <v>2036.4105637329656</v>
      </c>
      <c r="M242" s="120">
        <f>M240*M241</f>
        <v>2273.5078675592226</v>
      </c>
    </row>
    <row r="243" spans="2:19">
      <c r="B243" s="28"/>
      <c r="F243" s="58"/>
      <c r="G243" s="58"/>
      <c r="H243" s="58"/>
      <c r="I243" s="58"/>
      <c r="J243" s="58"/>
      <c r="K243" s="58"/>
      <c r="L243" s="58"/>
      <c r="M243" s="58"/>
    </row>
    <row r="244" spans="2:19" ht="16.5" customHeight="1">
      <c r="B244" s="108" t="s">
        <v>172</v>
      </c>
      <c r="C244" s="108"/>
      <c r="D244" s="108"/>
      <c r="E244" s="108"/>
      <c r="F244" s="108"/>
      <c r="G244" s="109"/>
      <c r="H244" s="109"/>
      <c r="I244" s="110"/>
      <c r="J244" s="110"/>
      <c r="K244" s="110"/>
      <c r="L244" s="110"/>
      <c r="M244" s="110"/>
    </row>
    <row r="246" spans="2:19">
      <c r="B246" s="35" t="s">
        <v>10</v>
      </c>
      <c r="C246" s="36"/>
      <c r="D246" s="36"/>
      <c r="E246" s="36"/>
      <c r="F246" s="37">
        <f t="shared" ref="F246:M246" si="69">F$5</f>
        <v>2023</v>
      </c>
      <c r="G246" s="37">
        <f t="shared" si="69"/>
        <v>2024</v>
      </c>
      <c r="H246" s="37">
        <f t="shared" si="69"/>
        <v>2025</v>
      </c>
      <c r="I246" s="38">
        <f t="shared" si="69"/>
        <v>2026</v>
      </c>
      <c r="J246" s="38">
        <f t="shared" si="69"/>
        <v>2027</v>
      </c>
      <c r="K246" s="38">
        <f t="shared" si="69"/>
        <v>2028</v>
      </c>
      <c r="L246" s="38">
        <f t="shared" si="69"/>
        <v>2029</v>
      </c>
      <c r="M246" s="38">
        <f t="shared" si="69"/>
        <v>2030</v>
      </c>
    </row>
    <row r="247" spans="2:19">
      <c r="E247" s="41"/>
      <c r="F247" s="98"/>
      <c r="G247" s="98"/>
      <c r="H247" s="98"/>
      <c r="I247" s="98"/>
      <c r="J247" s="98"/>
      <c r="K247" s="98"/>
      <c r="L247" s="98"/>
      <c r="M247" s="98"/>
    </row>
    <row r="248" spans="2:19">
      <c r="B248" s="41" t="s">
        <v>174</v>
      </c>
      <c r="F248" s="58">
        <f>F33</f>
        <v>24936</v>
      </c>
      <c r="G248" s="58">
        <f>G33</f>
        <v>24782</v>
      </c>
      <c r="H248" s="58">
        <f>H33</f>
        <v>24686</v>
      </c>
      <c r="I248" s="86">
        <v>24600</v>
      </c>
      <c r="J248" s="86">
        <v>24600</v>
      </c>
      <c r="K248" s="86">
        <v>24600</v>
      </c>
      <c r="L248" s="86">
        <v>24600</v>
      </c>
      <c r="M248" s="86">
        <v>24600</v>
      </c>
    </row>
    <row r="249" spans="2:19">
      <c r="B249" s="39" t="s">
        <v>103</v>
      </c>
      <c r="D249" s="41"/>
      <c r="F249" s="58">
        <f t="shared" ref="F249:M249" si="70">F75</f>
        <v>5518</v>
      </c>
      <c r="G249" s="58">
        <f t="shared" si="70"/>
        <v>4477</v>
      </c>
      <c r="H249" s="58">
        <f t="shared" si="70"/>
        <v>4757</v>
      </c>
      <c r="I249" s="58">
        <f t="shared" si="70"/>
        <v>5315.6399596719966</v>
      </c>
      <c r="J249" s="58">
        <f t="shared" si="70"/>
        <v>5070.549656762696</v>
      </c>
      <c r="K249" s="58">
        <f t="shared" si="70"/>
        <v>5533.0978299444314</v>
      </c>
      <c r="L249" s="58">
        <f t="shared" si="70"/>
        <v>5795.9377583169016</v>
      </c>
      <c r="M249" s="58">
        <f t="shared" si="70"/>
        <v>6470.7531615147091</v>
      </c>
    </row>
    <row r="250" spans="2:19">
      <c r="B250" s="39" t="s">
        <v>65</v>
      </c>
      <c r="F250" s="115">
        <f t="shared" ref="F250:M250" si="71">F284</f>
        <v>1651</v>
      </c>
      <c r="G250" s="115">
        <f t="shared" si="71"/>
        <v>1828</v>
      </c>
      <c r="H250" s="115">
        <f t="shared" si="71"/>
        <v>2000</v>
      </c>
      <c r="I250" s="115">
        <f t="shared" si="71"/>
        <v>2126.2559838687989</v>
      </c>
      <c r="J250" s="115">
        <f t="shared" si="71"/>
        <v>2129.6308558403321</v>
      </c>
      <c r="K250" s="115">
        <f t="shared" si="71"/>
        <v>2489.8940234749944</v>
      </c>
      <c r="L250" s="115">
        <f t="shared" si="71"/>
        <v>2608.1719912426056</v>
      </c>
      <c r="M250" s="115">
        <f t="shared" si="71"/>
        <v>2911.8389226816194</v>
      </c>
    </row>
    <row r="251" spans="2:19">
      <c r="B251" s="39" t="s">
        <v>66</v>
      </c>
      <c r="F251" s="58">
        <f t="shared" ref="F251:M251" si="72">F287</f>
        <v>1993</v>
      </c>
      <c r="G251" s="58">
        <f t="shared" si="72"/>
        <v>2011</v>
      </c>
      <c r="H251" s="58">
        <f t="shared" si="72"/>
        <v>1993</v>
      </c>
      <c r="I251" s="58">
        <f t="shared" si="72"/>
        <v>1692.0301999999938</v>
      </c>
      <c r="J251" s="58">
        <f t="shared" si="72"/>
        <v>1526.4218518031994</v>
      </c>
      <c r="K251" s="58">
        <f t="shared" si="72"/>
        <v>1915.0728734335644</v>
      </c>
      <c r="L251" s="58">
        <f t="shared" si="72"/>
        <v>3026.3771006840907</v>
      </c>
      <c r="M251" s="58">
        <f t="shared" si="72"/>
        <v>3362.7220769377527</v>
      </c>
    </row>
    <row r="252" spans="2:19">
      <c r="B252" s="41" t="s">
        <v>20</v>
      </c>
      <c r="C252" s="41"/>
      <c r="D252" s="41"/>
      <c r="E252" s="41"/>
      <c r="F252" s="58">
        <f t="shared" ref="F252:H253" si="73">F34</f>
        <v>6790</v>
      </c>
      <c r="G252" s="58">
        <f t="shared" si="73"/>
        <v>5912</v>
      </c>
      <c r="H252" s="58">
        <f t="shared" si="73"/>
        <v>6291</v>
      </c>
      <c r="I252" s="58">
        <f>I249-I250+H252-I251</f>
        <v>7788.3537758032035</v>
      </c>
      <c r="J252" s="58">
        <f>J249-J250+I252-J251</f>
        <v>9202.8507249223676</v>
      </c>
      <c r="K252" s="58">
        <f>K249-K250+J252-K251</f>
        <v>10330.98165795824</v>
      </c>
      <c r="L252" s="58">
        <f>L249-L250+K252-L251</f>
        <v>10492.370324348445</v>
      </c>
      <c r="M252" s="58">
        <f>M249-M250+L252-M251</f>
        <v>10688.562486243782</v>
      </c>
      <c r="O252" s="441"/>
    </row>
    <row r="253" spans="2:19">
      <c r="B253" s="41" t="s">
        <v>21</v>
      </c>
      <c r="C253" s="41"/>
      <c r="D253" s="41"/>
      <c r="E253" s="41"/>
      <c r="F253" s="58">
        <f t="shared" si="73"/>
        <v>8508</v>
      </c>
      <c r="G253" s="58">
        <f t="shared" si="73"/>
        <v>8827</v>
      </c>
      <c r="H253" s="58">
        <f t="shared" si="73"/>
        <v>10744</v>
      </c>
      <c r="I253" s="86">
        <v>10000</v>
      </c>
      <c r="J253" s="86">
        <v>10000</v>
      </c>
      <c r="K253" s="86">
        <v>10500</v>
      </c>
      <c r="L253" s="86">
        <v>11000</v>
      </c>
      <c r="M253" s="86">
        <v>11500</v>
      </c>
    </row>
    <row r="254" spans="2:19">
      <c r="B254" s="87" t="s">
        <v>173</v>
      </c>
      <c r="F254" s="115">
        <v>40234</v>
      </c>
      <c r="G254" s="115">
        <f t="shared" ref="G254:M254" si="74">G248+G252+G253</f>
        <v>39521</v>
      </c>
      <c r="H254" s="115">
        <f t="shared" si="74"/>
        <v>41721</v>
      </c>
      <c r="I254" s="115">
        <f t="shared" si="74"/>
        <v>42388.353775803203</v>
      </c>
      <c r="J254" s="115">
        <f t="shared" si="74"/>
        <v>43802.850724922369</v>
      </c>
      <c r="K254" s="115">
        <f t="shared" si="74"/>
        <v>45430.98165795824</v>
      </c>
      <c r="L254" s="115">
        <f t="shared" si="74"/>
        <v>46092.370324348449</v>
      </c>
      <c r="M254" s="115">
        <f t="shared" si="74"/>
        <v>46788.562486243783</v>
      </c>
      <c r="P254" s="441"/>
      <c r="S254" s="441"/>
    </row>
    <row r="255" spans="2:19">
      <c r="B255" s="40" t="s">
        <v>27</v>
      </c>
      <c r="F255" s="52">
        <v>7131</v>
      </c>
      <c r="G255" s="52">
        <v>6367</v>
      </c>
      <c r="H255" s="52">
        <v>6146</v>
      </c>
      <c r="I255" s="52">
        <v>6200</v>
      </c>
      <c r="J255" s="52">
        <v>6800</v>
      </c>
      <c r="K255" s="52">
        <v>6800</v>
      </c>
      <c r="L255" s="52">
        <v>6800</v>
      </c>
      <c r="M255" s="52">
        <v>6900</v>
      </c>
    </row>
    <row r="256" spans="2:19">
      <c r="B256" s="42" t="s">
        <v>28</v>
      </c>
      <c r="F256" s="56">
        <f t="shared" ref="F256:M256" si="75">F254+F255</f>
        <v>47365</v>
      </c>
      <c r="G256" s="56">
        <f t="shared" si="75"/>
        <v>45888</v>
      </c>
      <c r="H256" s="56">
        <f t="shared" si="75"/>
        <v>47867</v>
      </c>
      <c r="I256" s="56">
        <f t="shared" si="75"/>
        <v>48588.353775803203</v>
      </c>
      <c r="J256" s="56">
        <f t="shared" si="75"/>
        <v>50602.850724922369</v>
      </c>
      <c r="K256" s="56">
        <f t="shared" si="75"/>
        <v>52230.98165795824</v>
      </c>
      <c r="L256" s="56">
        <f t="shared" si="75"/>
        <v>52892.370324348449</v>
      </c>
      <c r="M256" s="56">
        <f t="shared" si="75"/>
        <v>53688.562486243783</v>
      </c>
    </row>
    <row r="258" spans="2:13" ht="16.5" customHeight="1">
      <c r="B258" s="108" t="s">
        <v>354</v>
      </c>
      <c r="C258" s="108"/>
      <c r="D258" s="108"/>
      <c r="E258" s="108"/>
      <c r="F258" s="108"/>
      <c r="G258" s="109"/>
      <c r="H258" s="109"/>
      <c r="I258" s="110"/>
      <c r="J258" s="110"/>
      <c r="K258" s="110"/>
      <c r="L258" s="110"/>
      <c r="M258" s="110"/>
    </row>
    <row r="260" spans="2:13">
      <c r="B260" s="35" t="s">
        <v>10</v>
      </c>
      <c r="C260" s="36"/>
      <c r="D260" s="36"/>
      <c r="E260" s="36"/>
      <c r="F260" s="37">
        <f t="shared" ref="F260:M260" si="76">F$5</f>
        <v>2023</v>
      </c>
      <c r="G260" s="37">
        <f t="shared" si="76"/>
        <v>2024</v>
      </c>
      <c r="H260" s="37">
        <f t="shared" si="76"/>
        <v>2025</v>
      </c>
      <c r="I260" s="38">
        <f t="shared" si="76"/>
        <v>2026</v>
      </c>
      <c r="J260" s="38">
        <f t="shared" si="76"/>
        <v>2027</v>
      </c>
      <c r="K260" s="38">
        <f t="shared" si="76"/>
        <v>2028</v>
      </c>
      <c r="L260" s="38">
        <f t="shared" si="76"/>
        <v>2029</v>
      </c>
      <c r="M260" s="38">
        <f t="shared" si="76"/>
        <v>2030</v>
      </c>
    </row>
    <row r="261" spans="2:13">
      <c r="E261" s="84"/>
      <c r="F261" s="84"/>
      <c r="G261" s="84"/>
      <c r="H261" s="84"/>
      <c r="I261" s="84"/>
      <c r="J261" s="84"/>
      <c r="K261" s="84"/>
      <c r="L261" s="84"/>
      <c r="M261" s="84"/>
    </row>
    <row r="262" spans="2:13">
      <c r="B262" s="39" t="s">
        <v>355</v>
      </c>
      <c r="E262" s="84"/>
      <c r="F262" s="448">
        <v>66944</v>
      </c>
      <c r="G262" s="58">
        <f>F266</f>
        <v>63508</v>
      </c>
      <c r="H262" s="58">
        <f t="shared" ref="H262:M262" si="77">G266</f>
        <v>60491</v>
      </c>
      <c r="I262" s="58">
        <f t="shared" si="77"/>
        <v>58799</v>
      </c>
      <c r="J262" s="58">
        <f t="shared" si="77"/>
        <v>57054.63896907217</v>
      </c>
      <c r="K262" s="58">
        <f t="shared" si="77"/>
        <v>55528.21711726897</v>
      </c>
      <c r="L262" s="58">
        <f t="shared" si="77"/>
        <v>53668.923065391726</v>
      </c>
      <c r="M262" s="58">
        <f t="shared" si="77"/>
        <v>50813.850328897301</v>
      </c>
    </row>
    <row r="263" spans="2:13">
      <c r="B263" s="77" t="s">
        <v>66</v>
      </c>
      <c r="F263" s="58">
        <f>F251</f>
        <v>1993</v>
      </c>
      <c r="G263" s="58">
        <f t="shared" ref="G263:M263" si="78">G251</f>
        <v>2011</v>
      </c>
      <c r="H263" s="58">
        <f t="shared" si="78"/>
        <v>1993</v>
      </c>
      <c r="I263" s="58">
        <f t="shared" si="78"/>
        <v>1692.0301999999938</v>
      </c>
      <c r="J263" s="58">
        <f t="shared" si="78"/>
        <v>1526.4218518031994</v>
      </c>
      <c r="K263" s="58">
        <f t="shared" si="78"/>
        <v>1915.0728734335644</v>
      </c>
      <c r="L263" s="58">
        <f t="shared" si="78"/>
        <v>3026.3771006840907</v>
      </c>
      <c r="M263" s="58">
        <f t="shared" si="78"/>
        <v>3362.7220769377527</v>
      </c>
    </row>
    <row r="264" spans="2:13">
      <c r="B264" s="77" t="s">
        <v>358</v>
      </c>
      <c r="E264" s="84"/>
      <c r="F264" s="449">
        <f>F263/F265</f>
        <v>0.58003492433061699</v>
      </c>
      <c r="G264" s="450">
        <f t="shared" ref="G264:H264" si="79">G263/G265</f>
        <v>0.66655618163738817</v>
      </c>
      <c r="H264" s="450">
        <f t="shared" si="79"/>
        <v>1.1778959810874705</v>
      </c>
      <c r="I264" s="451">
        <v>0.97</v>
      </c>
      <c r="J264" s="451">
        <v>1</v>
      </c>
      <c r="K264" s="451">
        <v>1.03</v>
      </c>
      <c r="L264" s="451">
        <v>1.06</v>
      </c>
      <c r="M264" s="451">
        <v>1.0900000000000001</v>
      </c>
    </row>
    <row r="265" spans="2:13">
      <c r="B265" s="39" t="s">
        <v>356</v>
      </c>
      <c r="E265" s="84"/>
      <c r="F265" s="58">
        <f>F262-F266</f>
        <v>3436</v>
      </c>
      <c r="G265" s="58">
        <f t="shared" ref="G265:H265" si="80">G262-G266</f>
        <v>3017</v>
      </c>
      <c r="H265" s="58">
        <f t="shared" si="80"/>
        <v>1692</v>
      </c>
      <c r="I265" s="58">
        <f>I263/I264</f>
        <v>1744.3610309278288</v>
      </c>
      <c r="J265" s="58">
        <f t="shared" ref="J265:M265" si="81">J263/J264</f>
        <v>1526.4218518031994</v>
      </c>
      <c r="K265" s="58">
        <f t="shared" si="81"/>
        <v>1859.2940518772468</v>
      </c>
      <c r="L265" s="58">
        <f t="shared" si="81"/>
        <v>2855.072736494425</v>
      </c>
      <c r="M265" s="58">
        <f t="shared" si="81"/>
        <v>3085.0661256309654</v>
      </c>
    </row>
    <row r="266" spans="2:13">
      <c r="B266" s="39" t="s">
        <v>357</v>
      </c>
      <c r="F266" s="448">
        <v>63508</v>
      </c>
      <c r="G266" s="448">
        <v>60491</v>
      </c>
      <c r="H266" s="448">
        <v>58799</v>
      </c>
      <c r="I266" s="58">
        <f>I262-I265</f>
        <v>57054.63896907217</v>
      </c>
      <c r="J266" s="58">
        <f t="shared" ref="J266:M266" si="82">J262-J265</f>
        <v>55528.21711726897</v>
      </c>
      <c r="K266" s="58">
        <f t="shared" si="82"/>
        <v>53668.923065391726</v>
      </c>
      <c r="L266" s="58">
        <f t="shared" si="82"/>
        <v>50813.850328897301</v>
      </c>
      <c r="M266" s="58">
        <f t="shared" si="82"/>
        <v>47728.784203266332</v>
      </c>
    </row>
    <row r="268" spans="2:13" ht="15.75">
      <c r="B268" s="108" t="s">
        <v>157</v>
      </c>
      <c r="C268" s="108"/>
      <c r="D268" s="108"/>
      <c r="E268" s="108"/>
      <c r="F268" s="108"/>
      <c r="G268" s="109"/>
      <c r="H268" s="109"/>
      <c r="I268" s="110"/>
      <c r="J268" s="110"/>
      <c r="K268" s="110"/>
      <c r="L268" s="110"/>
      <c r="M268" s="110"/>
    </row>
    <row r="270" spans="2:13">
      <c r="B270" s="35" t="s">
        <v>10</v>
      </c>
      <c r="C270" s="36"/>
      <c r="D270" s="36"/>
      <c r="E270" s="36"/>
      <c r="F270" s="37">
        <f>F$5</f>
        <v>2023</v>
      </c>
      <c r="G270" s="37">
        <f t="shared" ref="G270:M270" si="83">G$5</f>
        <v>2024</v>
      </c>
      <c r="H270" s="37">
        <f t="shared" si="83"/>
        <v>2025</v>
      </c>
      <c r="I270" s="38">
        <f t="shared" si="83"/>
        <v>2026</v>
      </c>
      <c r="J270" s="38">
        <f t="shared" si="83"/>
        <v>2027</v>
      </c>
      <c r="K270" s="38">
        <f t="shared" si="83"/>
        <v>2028</v>
      </c>
      <c r="L270" s="38">
        <f t="shared" si="83"/>
        <v>2029</v>
      </c>
      <c r="M270" s="38">
        <f t="shared" si="83"/>
        <v>2030</v>
      </c>
    </row>
    <row r="272" spans="2:13">
      <c r="B272" s="39" t="s">
        <v>116</v>
      </c>
      <c r="C272" s="41"/>
      <c r="D272" s="41"/>
      <c r="E272" s="41"/>
      <c r="F272" s="415">
        <f t="shared" ref="F272:M272" si="84">F164</f>
        <v>0.14629611283564128</v>
      </c>
      <c r="G272" s="415">
        <f t="shared" si="84"/>
        <v>0.14535111311504154</v>
      </c>
      <c r="H272" s="415">
        <f t="shared" si="84"/>
        <v>0.1387320330326321</v>
      </c>
      <c r="I272" s="415">
        <f t="shared" si="84"/>
        <v>0.13931916384169549</v>
      </c>
      <c r="J272" s="415">
        <f t="shared" si="84"/>
        <v>0.14155842446599518</v>
      </c>
      <c r="K272" s="415">
        <f t="shared" si="84"/>
        <v>0.14434349505564489</v>
      </c>
      <c r="L272" s="415">
        <f t="shared" si="84"/>
        <v>0.14128110415175654</v>
      </c>
      <c r="M272" s="415">
        <f t="shared" si="84"/>
        <v>0.1387016792005433</v>
      </c>
    </row>
    <row r="273" spans="2:13">
      <c r="B273" s="39" t="s">
        <v>349</v>
      </c>
      <c r="C273" s="41"/>
      <c r="D273" s="41"/>
      <c r="E273" s="41"/>
      <c r="F273" s="442">
        <v>0.13</v>
      </c>
      <c r="G273" s="442">
        <v>0.13</v>
      </c>
      <c r="H273" s="442">
        <v>0.13</v>
      </c>
      <c r="I273" s="442">
        <v>0.13</v>
      </c>
      <c r="J273" s="442">
        <v>0.13</v>
      </c>
      <c r="K273" s="442">
        <v>0.13</v>
      </c>
      <c r="L273" s="442">
        <v>0.13</v>
      </c>
      <c r="M273" s="442">
        <v>0.13</v>
      </c>
    </row>
    <row r="274" spans="2:13">
      <c r="B274" s="39" t="s">
        <v>350</v>
      </c>
      <c r="C274" s="41"/>
      <c r="D274" s="41"/>
      <c r="E274" s="41"/>
      <c r="F274" s="442">
        <v>0.14499999999999999</v>
      </c>
      <c r="G274" s="442">
        <v>0.14000000000000001</v>
      </c>
      <c r="H274" s="442">
        <v>0.14000000000000001</v>
      </c>
      <c r="I274" s="442">
        <v>0.14000000000000001</v>
      </c>
      <c r="J274" s="442">
        <v>0.14000000000000001</v>
      </c>
      <c r="K274" s="442">
        <v>0.14000000000000001</v>
      </c>
      <c r="L274" s="442">
        <v>0.14000000000000001</v>
      </c>
      <c r="M274" s="442">
        <v>0.14000000000000001</v>
      </c>
    </row>
    <row r="275" spans="2:13">
      <c r="B275" s="39"/>
      <c r="C275" s="41"/>
      <c r="D275" s="41"/>
      <c r="E275" s="41"/>
      <c r="F275" s="41"/>
      <c r="G275" s="41"/>
      <c r="H275" s="41"/>
      <c r="I275" s="41"/>
      <c r="J275" s="41"/>
      <c r="K275" s="41"/>
      <c r="L275" s="41"/>
      <c r="M275" s="41"/>
    </row>
    <row r="276" spans="2:13">
      <c r="B276" s="39" t="s">
        <v>111</v>
      </c>
      <c r="C276" s="41"/>
      <c r="D276" s="41"/>
      <c r="E276" s="41"/>
      <c r="F276" s="58">
        <f t="shared" ref="F276:M276" si="85">F151+F287</f>
        <v>33890</v>
      </c>
      <c r="G276" s="58">
        <f t="shared" si="85"/>
        <v>33990</v>
      </c>
      <c r="H276" s="58">
        <f t="shared" si="85"/>
        <v>34923</v>
      </c>
      <c r="I276" s="58">
        <f t="shared" si="85"/>
        <v>35580.383975803197</v>
      </c>
      <c r="J276" s="58">
        <f t="shared" si="85"/>
        <v>36829.272576725569</v>
      </c>
      <c r="K276" s="58">
        <f t="shared" si="85"/>
        <v>38846.054531391805</v>
      </c>
      <c r="L276" s="58">
        <f t="shared" si="85"/>
        <v>40118.747425032539</v>
      </c>
      <c r="M276" s="58">
        <f t="shared" si="85"/>
        <v>40651.284563181536</v>
      </c>
    </row>
    <row r="277" spans="2:13">
      <c r="B277" s="39" t="s">
        <v>351</v>
      </c>
      <c r="C277" s="41"/>
      <c r="D277" s="41"/>
      <c r="E277" s="41"/>
      <c r="F277" s="58">
        <f t="shared" ref="F277:M277" si="86">F162*F274</f>
        <v>31614.407999999996</v>
      </c>
      <c r="G277" s="58">
        <f t="shared" si="86"/>
        <v>30801.690500000001</v>
      </c>
      <c r="H277" s="58">
        <f t="shared" si="86"/>
        <v>33230.969800000006</v>
      </c>
      <c r="I277" s="58">
        <f t="shared" si="86"/>
        <v>34053.962123999998</v>
      </c>
      <c r="J277" s="58">
        <f t="shared" si="86"/>
        <v>34914.199703292004</v>
      </c>
      <c r="K277" s="58">
        <f t="shared" si="86"/>
        <v>35819.677430707714</v>
      </c>
      <c r="L277" s="58">
        <f t="shared" si="86"/>
        <v>36756.025348094787</v>
      </c>
      <c r="M277" s="58">
        <f t="shared" si="86"/>
        <v>37637.603078519045</v>
      </c>
    </row>
    <row r="278" spans="2:13" ht="16.5" customHeight="1">
      <c r="B278" s="41"/>
      <c r="C278" s="41"/>
      <c r="D278" s="41"/>
      <c r="E278" s="41"/>
      <c r="F278" s="41"/>
      <c r="G278" s="41"/>
      <c r="H278" s="41"/>
      <c r="I278" s="41"/>
      <c r="J278" s="41"/>
      <c r="K278" s="41"/>
      <c r="L278" s="41"/>
      <c r="M278" s="41"/>
    </row>
    <row r="279" spans="2:13">
      <c r="B279" s="87" t="s">
        <v>103</v>
      </c>
      <c r="C279" s="41"/>
      <c r="D279" s="41"/>
      <c r="E279" s="41"/>
      <c r="F279" s="93">
        <f t="shared" ref="F279:M279" si="87">F75</f>
        <v>5518</v>
      </c>
      <c r="G279" s="93">
        <f t="shared" si="87"/>
        <v>4477</v>
      </c>
      <c r="H279" s="93">
        <f t="shared" si="87"/>
        <v>4757</v>
      </c>
      <c r="I279" s="93">
        <f t="shared" si="87"/>
        <v>5315.6399596719966</v>
      </c>
      <c r="J279" s="93">
        <f t="shared" si="87"/>
        <v>5070.549656762696</v>
      </c>
      <c r="K279" s="93">
        <f t="shared" si="87"/>
        <v>5533.0978299444314</v>
      </c>
      <c r="L279" s="93">
        <f t="shared" si="87"/>
        <v>5795.9377583169016</v>
      </c>
      <c r="M279" s="93">
        <f t="shared" si="87"/>
        <v>6470.7531615147091</v>
      </c>
    </row>
    <row r="280" spans="2:13">
      <c r="B280" s="39" t="s">
        <v>353</v>
      </c>
      <c r="C280" s="41"/>
      <c r="D280" s="41"/>
      <c r="E280" s="81"/>
      <c r="F280" s="112">
        <f>(F284+F287)/F279</f>
        <v>0.66038419717288876</v>
      </c>
      <c r="G280" s="112">
        <f>(G284+G287)/G279</f>
        <v>0.85749385749385754</v>
      </c>
      <c r="H280" s="112">
        <f>(H284+H287)/H279</f>
        <v>0.83939457641370607</v>
      </c>
      <c r="I280" s="440">
        <f>(I284+I287)/I279</f>
        <v>0.71831166385174083</v>
      </c>
      <c r="J280" s="440">
        <f t="shared" ref="J280:M280" si="88">(J284+J287)/J279</f>
        <v>0.72103676230985703</v>
      </c>
      <c r="K280" s="440">
        <f t="shared" si="88"/>
        <v>0.79611223807926013</v>
      </c>
      <c r="L280" s="440">
        <f t="shared" si="88"/>
        <v>0.97215486550754959</v>
      </c>
      <c r="M280" s="440">
        <f t="shared" si="88"/>
        <v>0.9696801659716825</v>
      </c>
    </row>
    <row r="281" spans="2:13">
      <c r="B281" s="39" t="s">
        <v>158</v>
      </c>
      <c r="C281" s="41"/>
      <c r="D281" s="41"/>
      <c r="E281" s="81"/>
      <c r="F281" s="58">
        <f t="shared" ref="F281:H281" si="89">F279*F280</f>
        <v>3644</v>
      </c>
      <c r="G281" s="58">
        <f t="shared" si="89"/>
        <v>3839</v>
      </c>
      <c r="H281" s="58">
        <f t="shared" si="89"/>
        <v>3993</v>
      </c>
      <c r="I281" s="93">
        <f>I284+I287</f>
        <v>3818.2861838687927</v>
      </c>
      <c r="J281" s="93">
        <f t="shared" ref="J281:M281" si="90">J284+J287</f>
        <v>3656.0527076435314</v>
      </c>
      <c r="K281" s="93">
        <f t="shared" si="90"/>
        <v>4404.9668969085587</v>
      </c>
      <c r="L281" s="93">
        <f t="shared" si="90"/>
        <v>5634.5490919266958</v>
      </c>
      <c r="M281" s="93">
        <f t="shared" si="90"/>
        <v>6274.5609996193725</v>
      </c>
    </row>
    <row r="282" spans="2:13">
      <c r="B282" s="39"/>
      <c r="C282" s="41"/>
      <c r="D282" s="41"/>
      <c r="E282" s="41"/>
      <c r="F282" s="58"/>
      <c r="G282" s="58"/>
      <c r="H282" s="58"/>
      <c r="I282" s="58"/>
      <c r="J282" s="58"/>
      <c r="K282" s="58"/>
      <c r="L282" s="58"/>
      <c r="M282" s="58"/>
    </row>
    <row r="283" spans="2:13">
      <c r="B283" s="39" t="s">
        <v>352</v>
      </c>
      <c r="F283" s="112">
        <f>F284/F279</f>
        <v>0.29920260964117434</v>
      </c>
      <c r="G283" s="112">
        <f t="shared" ref="G283:H283" si="91">G284/G279</f>
        <v>0.40830913558186288</v>
      </c>
      <c r="H283" s="112">
        <f t="shared" si="91"/>
        <v>0.42043304603741855</v>
      </c>
      <c r="I283" s="111">
        <v>0.4</v>
      </c>
      <c r="J283" s="111">
        <v>0.42</v>
      </c>
      <c r="K283" s="111">
        <v>0.45</v>
      </c>
      <c r="L283" s="111">
        <v>0.45</v>
      </c>
      <c r="M283" s="111">
        <v>0.45</v>
      </c>
    </row>
    <row r="284" spans="2:13">
      <c r="B284" s="51" t="s">
        <v>65</v>
      </c>
      <c r="C284" s="27"/>
      <c r="D284" s="27"/>
      <c r="E284" s="27"/>
      <c r="F284" s="100">
        <v>1651</v>
      </c>
      <c r="G284" s="100">
        <v>1828</v>
      </c>
      <c r="H284" s="100">
        <v>2000</v>
      </c>
      <c r="I284" s="94">
        <f>I279*I283</f>
        <v>2126.2559838687989</v>
      </c>
      <c r="J284" s="94">
        <f t="shared" ref="J284:M284" si="92">J279*J283</f>
        <v>2129.6308558403321</v>
      </c>
      <c r="K284" s="94">
        <f t="shared" si="92"/>
        <v>2489.8940234749944</v>
      </c>
      <c r="L284" s="94">
        <f t="shared" si="92"/>
        <v>2608.1719912426056</v>
      </c>
      <c r="M284" s="94">
        <f t="shared" si="92"/>
        <v>2911.8389226816194</v>
      </c>
    </row>
    <row r="285" spans="2:13">
      <c r="F285" s="58"/>
      <c r="G285" s="58"/>
      <c r="H285" s="58"/>
      <c r="I285" s="58"/>
      <c r="J285" s="58"/>
      <c r="K285" s="58"/>
      <c r="L285" s="58"/>
      <c r="M285" s="58"/>
    </row>
    <row r="286" spans="2:13">
      <c r="B286" s="39" t="s">
        <v>159</v>
      </c>
      <c r="F286" s="112">
        <f>F287/F281</f>
        <v>0.54692645444566412</v>
      </c>
      <c r="G286" s="112">
        <f>G287/G281</f>
        <v>0.52383433185725448</v>
      </c>
      <c r="H286" s="112">
        <f>H287/H281</f>
        <v>0.49912346606561481</v>
      </c>
      <c r="I286" s="440">
        <f>I287/I279</f>
        <v>0.31831166385174081</v>
      </c>
      <c r="J286" s="440">
        <f t="shared" ref="J286:M286" si="93">J287/J279</f>
        <v>0.30103676230985715</v>
      </c>
      <c r="K286" s="440">
        <f t="shared" si="93"/>
        <v>0.34611223807926006</v>
      </c>
      <c r="L286" s="440">
        <f t="shared" si="93"/>
        <v>0.52215486550754964</v>
      </c>
      <c r="M286" s="440">
        <f t="shared" si="93"/>
        <v>0.51968016597168243</v>
      </c>
    </row>
    <row r="287" spans="2:13">
      <c r="B287" s="51" t="s">
        <v>66</v>
      </c>
      <c r="C287" s="27"/>
      <c r="D287" s="27"/>
      <c r="E287" s="27"/>
      <c r="F287" s="100">
        <v>1993</v>
      </c>
      <c r="G287" s="100">
        <v>2011</v>
      </c>
      <c r="H287" s="100">
        <v>1993</v>
      </c>
      <c r="I287" s="94">
        <f>MAX(0,H276-H277)</f>
        <v>1692.0301999999938</v>
      </c>
      <c r="J287" s="94">
        <f>MAX(0,I276-I277)</f>
        <v>1526.4218518031994</v>
      </c>
      <c r="K287" s="94">
        <f>MAX(0,J276-J277)</f>
        <v>1915.0728734335644</v>
      </c>
      <c r="L287" s="94">
        <f>MAX(0,K276-K277)</f>
        <v>3026.3771006840907</v>
      </c>
      <c r="M287" s="94">
        <f>MAX(0,L276-L277)</f>
        <v>3362.7220769377527</v>
      </c>
    </row>
    <row r="289" spans="2:16" ht="15.75">
      <c r="B289" s="108" t="s">
        <v>160</v>
      </c>
      <c r="C289" s="108"/>
      <c r="D289" s="108"/>
      <c r="E289" s="108"/>
      <c r="F289" s="108"/>
      <c r="G289" s="109"/>
      <c r="H289" s="109"/>
      <c r="I289" s="110"/>
      <c r="J289" s="110"/>
      <c r="K289" s="110"/>
      <c r="L289" s="110"/>
      <c r="M289" s="110"/>
      <c r="P289" s="116"/>
    </row>
    <row r="291" spans="2:16">
      <c r="B291" s="35" t="s">
        <v>10</v>
      </c>
      <c r="C291" s="36"/>
      <c r="D291" s="36"/>
      <c r="E291" s="36"/>
      <c r="F291" s="37">
        <f>F$5</f>
        <v>2023</v>
      </c>
      <c r="G291" s="37">
        <f t="shared" ref="G291:M291" si="94">G$5</f>
        <v>2024</v>
      </c>
      <c r="H291" s="37">
        <f t="shared" si="94"/>
        <v>2025</v>
      </c>
      <c r="I291" s="38">
        <f t="shared" si="94"/>
        <v>2026</v>
      </c>
      <c r="J291" s="38">
        <f t="shared" si="94"/>
        <v>2027</v>
      </c>
      <c r="K291" s="38">
        <f t="shared" si="94"/>
        <v>2028</v>
      </c>
      <c r="L291" s="38">
        <f t="shared" si="94"/>
        <v>2029</v>
      </c>
      <c r="M291" s="38">
        <f t="shared" si="94"/>
        <v>2030</v>
      </c>
    </row>
    <row r="292" spans="2:16">
      <c r="E292" s="41"/>
      <c r="F292" s="98"/>
      <c r="G292" s="98"/>
      <c r="H292" s="98"/>
      <c r="I292" s="98"/>
      <c r="J292" s="98"/>
      <c r="K292" s="98"/>
      <c r="L292" s="98"/>
      <c r="M292" s="98"/>
    </row>
    <row r="293" spans="2:16">
      <c r="B293" s="28" t="s">
        <v>163</v>
      </c>
      <c r="F293" s="84"/>
      <c r="G293" s="84"/>
      <c r="H293" s="84"/>
      <c r="I293" s="84"/>
      <c r="J293" s="84"/>
      <c r="K293" s="84"/>
      <c r="L293" s="84"/>
      <c r="M293" s="84"/>
    </row>
    <row r="294" spans="2:16">
      <c r="B294" s="41" t="s">
        <v>44</v>
      </c>
      <c r="D294" s="41"/>
      <c r="F294" s="58">
        <f>F51</f>
        <v>2926</v>
      </c>
      <c r="G294" s="58">
        <f>G51</f>
        <v>2943</v>
      </c>
      <c r="H294" s="58">
        <f>H51</f>
        <v>3118</v>
      </c>
      <c r="I294" s="58">
        <f>I189*I295</f>
        <v>3013.450668</v>
      </c>
      <c r="J294" s="58">
        <f>J189*J295</f>
        <v>3089.5734844439999</v>
      </c>
      <c r="K294" s="58">
        <f>K189*K295</f>
        <v>3169.6996222662119</v>
      </c>
      <c r="L294" s="58">
        <f>L189*L295</f>
        <v>3252.5574773039343</v>
      </c>
      <c r="M294" s="58">
        <f>M189*M295</f>
        <v>3330.5686934721894</v>
      </c>
    </row>
    <row r="295" spans="2:16">
      <c r="B295" s="39" t="s">
        <v>161</v>
      </c>
      <c r="F295" s="98">
        <f>F294/F189</f>
        <v>6.3544598491955939E-3</v>
      </c>
      <c r="G295" s="98">
        <f>G294/G189</f>
        <v>6.3019271948608138E-3</v>
      </c>
      <c r="H295" s="98">
        <f>H294/H189</f>
        <v>6.3914922227961855E-3</v>
      </c>
      <c r="I295" s="113">
        <v>6.0000000000000001E-3</v>
      </c>
      <c r="J295" s="113">
        <v>6.0000000000000001E-3</v>
      </c>
      <c r="K295" s="113">
        <v>6.0000000000000001E-3</v>
      </c>
      <c r="L295" s="113">
        <v>6.0000000000000001E-3</v>
      </c>
      <c r="M295" s="113">
        <v>6.0000000000000001E-3</v>
      </c>
    </row>
    <row r="296" spans="2:16">
      <c r="B296" s="41" t="s">
        <v>45</v>
      </c>
      <c r="F296" s="58">
        <f>F52</f>
        <v>-1095</v>
      </c>
      <c r="G296" s="58">
        <f>G52</f>
        <v>-1184</v>
      </c>
      <c r="H296" s="58">
        <f>H52</f>
        <v>-1334</v>
      </c>
      <c r="I296" s="58">
        <f>-I294*I297</f>
        <v>-1205.3802671999999</v>
      </c>
      <c r="J296" s="58">
        <f>-J294*J297</f>
        <v>-1235.8293937776</v>
      </c>
      <c r="K296" s="58">
        <f>-K294*K297</f>
        <v>-1267.8798489064848</v>
      </c>
      <c r="L296" s="58">
        <f>-L294*L297</f>
        <v>-1301.0229909215739</v>
      </c>
      <c r="M296" s="58">
        <f>-M294*M297</f>
        <v>-1332.2274773888757</v>
      </c>
    </row>
    <row r="297" spans="2:16">
      <c r="B297" s="39" t="s">
        <v>164</v>
      </c>
      <c r="F297" s="91">
        <f>-F296/F294</f>
        <v>0.37423103212576897</v>
      </c>
      <c r="G297" s="91">
        <f>-G296/G294</f>
        <v>0.40231056744818211</v>
      </c>
      <c r="H297" s="91">
        <f>-H296/H294</f>
        <v>0.42783835792174468</v>
      </c>
      <c r="I297" s="92">
        <v>0.4</v>
      </c>
      <c r="J297" s="92">
        <v>0.4</v>
      </c>
      <c r="K297" s="92">
        <v>0.4</v>
      </c>
      <c r="L297" s="92">
        <v>0.4</v>
      </c>
      <c r="M297" s="92">
        <v>0.4</v>
      </c>
    </row>
    <row r="298" spans="2:16" ht="16.5" customHeight="1">
      <c r="B298" s="41" t="s">
        <v>168</v>
      </c>
      <c r="F298" s="58">
        <f>F55</f>
        <v>1307</v>
      </c>
      <c r="G298" s="58">
        <f>G55</f>
        <v>1812</v>
      </c>
      <c r="H298" s="58">
        <f>H55</f>
        <v>1485</v>
      </c>
      <c r="I298" s="58">
        <f>H298*(1+I299)</f>
        <v>1559.25</v>
      </c>
      <c r="J298" s="58">
        <f>I298*(1+J299)</f>
        <v>1637.2125000000001</v>
      </c>
      <c r="K298" s="58">
        <f>J298*(1+K299)</f>
        <v>1719.0731250000001</v>
      </c>
      <c r="L298" s="58">
        <f>K298*(1+L299)</f>
        <v>1805.0267812500001</v>
      </c>
      <c r="M298" s="58">
        <f>L298*(1+M299)</f>
        <v>1895.2781203125003</v>
      </c>
    </row>
    <row r="299" spans="2:16">
      <c r="B299" s="39" t="s">
        <v>165</v>
      </c>
      <c r="F299" s="114" t="str">
        <f>IFERROR((F298/E298)-1,"N/A")</f>
        <v>N/A</v>
      </c>
      <c r="G299" s="91">
        <f>IFERROR((G298/F298)-1,"N/A")</f>
        <v>0.38638102524866103</v>
      </c>
      <c r="H299" s="91">
        <f>IFERROR((H298/G298)-1,"N/A")</f>
        <v>-0.18046357615894038</v>
      </c>
      <c r="I299" s="92">
        <v>0.05</v>
      </c>
      <c r="J299" s="92">
        <v>0.05</v>
      </c>
      <c r="K299" s="92">
        <v>0.05</v>
      </c>
      <c r="L299" s="92">
        <v>0.05</v>
      </c>
      <c r="M299" s="92">
        <v>0.05</v>
      </c>
    </row>
    <row r="300" spans="2:16">
      <c r="B300" s="41" t="s">
        <v>162</v>
      </c>
      <c r="F300" s="58">
        <f>F56</f>
        <v>3010</v>
      </c>
      <c r="G300" s="58">
        <f>G56</f>
        <v>3291</v>
      </c>
      <c r="H300" s="58">
        <f>H56</f>
        <v>3438</v>
      </c>
      <c r="I300" s="58">
        <f>H300*(1+I301)</f>
        <v>3575.52</v>
      </c>
      <c r="J300" s="58">
        <f>I300*(1+J301)</f>
        <v>3718.5408000000002</v>
      </c>
      <c r="K300" s="58">
        <f>J300*(1+K301)</f>
        <v>3867.2824320000004</v>
      </c>
      <c r="L300" s="58">
        <f>K300*(1+L301)</f>
        <v>4021.9737292800005</v>
      </c>
      <c r="M300" s="58">
        <f>L300*(1+M301)</f>
        <v>4182.8526784512005</v>
      </c>
    </row>
    <row r="301" spans="2:16">
      <c r="B301" s="39" t="s">
        <v>165</v>
      </c>
      <c r="F301" s="114" t="str">
        <f>IFERROR((F300/E300)-1,"N/A")</f>
        <v>N/A</v>
      </c>
      <c r="G301" s="91">
        <f>IFERROR((G300/F300)-1,"N/A")</f>
        <v>9.3355481727574796E-2</v>
      </c>
      <c r="H301" s="91">
        <f>IFERROR((H300/G300)-1,"N/A")</f>
        <v>4.4667274384685429E-2</v>
      </c>
      <c r="I301" s="92">
        <v>0.04</v>
      </c>
      <c r="J301" s="92">
        <v>0.04</v>
      </c>
      <c r="K301" s="92">
        <v>0.04</v>
      </c>
      <c r="L301" s="92">
        <v>0.04</v>
      </c>
      <c r="M301" s="92">
        <v>0.04</v>
      </c>
    </row>
    <row r="302" spans="2:16">
      <c r="B302" s="41" t="s">
        <v>49</v>
      </c>
      <c r="F302" s="58">
        <f>F57</f>
        <v>-2414</v>
      </c>
      <c r="G302" s="58">
        <f>G57</f>
        <v>-2805</v>
      </c>
      <c r="H302" s="58">
        <f>H57</f>
        <v>-2543</v>
      </c>
      <c r="I302" s="58">
        <f>I300*-I303</f>
        <v>-2860.4160000000002</v>
      </c>
      <c r="J302" s="58">
        <f>J300*-J303</f>
        <v>-2974.8326400000005</v>
      </c>
      <c r="K302" s="58">
        <f>K300*-K303</f>
        <v>-3093.8259456000005</v>
      </c>
      <c r="L302" s="58">
        <f>L300*-L303</f>
        <v>-3217.5789834240004</v>
      </c>
      <c r="M302" s="58">
        <f>M300*-M303</f>
        <v>-3346.2821427609606</v>
      </c>
    </row>
    <row r="303" spans="2:16">
      <c r="B303" s="39" t="s">
        <v>166</v>
      </c>
      <c r="F303" s="91">
        <f>-F302/F300</f>
        <v>0.80199335548172757</v>
      </c>
      <c r="G303" s="91">
        <f>-G302/G300</f>
        <v>0.85232452142206017</v>
      </c>
      <c r="H303" s="91">
        <f>-H302/H300</f>
        <v>0.73967422920302506</v>
      </c>
      <c r="I303" s="92">
        <v>0.8</v>
      </c>
      <c r="J303" s="92">
        <v>0.8</v>
      </c>
      <c r="K303" s="92">
        <v>0.8</v>
      </c>
      <c r="L303" s="92">
        <v>0.8</v>
      </c>
      <c r="M303" s="92">
        <v>0.8</v>
      </c>
    </row>
    <row r="304" spans="2:16">
      <c r="F304" s="58"/>
      <c r="G304" s="58"/>
      <c r="H304" s="58"/>
      <c r="I304" s="58"/>
      <c r="J304" s="58"/>
      <c r="K304" s="58"/>
      <c r="L304" s="58"/>
      <c r="M304" s="58"/>
    </row>
    <row r="305" spans="2:13">
      <c r="B305" s="28" t="s">
        <v>167</v>
      </c>
      <c r="F305" s="58"/>
      <c r="G305" s="58"/>
      <c r="H305" s="58"/>
      <c r="I305" s="58"/>
      <c r="J305" s="58"/>
      <c r="K305" s="58"/>
      <c r="L305" s="58"/>
      <c r="M305" s="58"/>
    </row>
    <row r="306" spans="2:13">
      <c r="B306" s="41" t="s">
        <v>52</v>
      </c>
      <c r="F306" s="58">
        <f>F64</f>
        <v>-4707</v>
      </c>
      <c r="G306" s="58">
        <f>G64</f>
        <v>-4672</v>
      </c>
      <c r="H306" s="58">
        <f>H64</f>
        <v>-4493</v>
      </c>
      <c r="I306" s="58">
        <f>H306*(1+I307)</f>
        <v>-4537.93</v>
      </c>
      <c r="J306" s="58">
        <f>I306*(1+J307)</f>
        <v>-4583.3092999999999</v>
      </c>
      <c r="K306" s="58">
        <f>J306*(1+K307)</f>
        <v>-4583.3092999999999</v>
      </c>
      <c r="L306" s="58">
        <f>K306*(1+L307)</f>
        <v>-4583.3092999999999</v>
      </c>
      <c r="M306" s="58">
        <f>L306*(1+M307)</f>
        <v>-4537.4762069999997</v>
      </c>
    </row>
    <row r="307" spans="2:13">
      <c r="B307" s="39" t="s">
        <v>165</v>
      </c>
      <c r="F307" s="114" t="str">
        <f>IFERROR((F306/E306)-1,"N/A")</f>
        <v>N/A</v>
      </c>
      <c r="G307" s="91">
        <f>IFERROR((G306/F306)-1,"N/A")</f>
        <v>-7.4357340131718797E-3</v>
      </c>
      <c r="H307" s="91">
        <f>IFERROR((H306/G306)-1,"N/A")</f>
        <v>-3.8313356164383583E-2</v>
      </c>
      <c r="I307" s="92">
        <v>0.01</v>
      </c>
      <c r="J307" s="92">
        <v>0.01</v>
      </c>
      <c r="K307" s="92">
        <v>0</v>
      </c>
      <c r="L307" s="92">
        <v>0</v>
      </c>
      <c r="M307" s="92">
        <v>-0.01</v>
      </c>
    </row>
    <row r="309" spans="2:13" ht="15.75">
      <c r="B309" s="108" t="s">
        <v>176</v>
      </c>
      <c r="C309" s="108"/>
      <c r="D309" s="108"/>
      <c r="E309" s="108"/>
      <c r="F309" s="108"/>
      <c r="G309" s="109"/>
      <c r="H309" s="109"/>
      <c r="I309" s="110"/>
      <c r="J309" s="110"/>
      <c r="K309" s="110"/>
      <c r="L309" s="110"/>
      <c r="M309" s="110"/>
    </row>
    <row r="311" spans="2:13">
      <c r="B311" s="35" t="s">
        <v>10</v>
      </c>
      <c r="C311" s="36"/>
      <c r="D311" s="36"/>
      <c r="E311" s="36"/>
      <c r="F311" s="37">
        <f>F$5</f>
        <v>2023</v>
      </c>
      <c r="G311" s="37">
        <f t="shared" ref="G311:M311" si="95">G$5</f>
        <v>2024</v>
      </c>
      <c r="H311" s="37">
        <f t="shared" si="95"/>
        <v>2025</v>
      </c>
      <c r="I311" s="38">
        <f t="shared" si="95"/>
        <v>2026</v>
      </c>
      <c r="J311" s="38">
        <f t="shared" si="95"/>
        <v>2027</v>
      </c>
      <c r="K311" s="38">
        <f t="shared" si="95"/>
        <v>2028</v>
      </c>
      <c r="L311" s="38">
        <f t="shared" si="95"/>
        <v>2029</v>
      </c>
      <c r="M311" s="38">
        <f t="shared" si="95"/>
        <v>2030</v>
      </c>
    </row>
    <row r="312" spans="2:13">
      <c r="E312" s="41"/>
      <c r="F312" s="98"/>
      <c r="G312" s="98"/>
      <c r="H312" s="98"/>
      <c r="I312" s="98"/>
      <c r="J312" s="98"/>
      <c r="K312" s="98"/>
      <c r="L312" s="98"/>
      <c r="M312" s="98"/>
    </row>
    <row r="313" spans="2:13">
      <c r="B313" s="28" t="s">
        <v>185</v>
      </c>
      <c r="F313" s="84"/>
      <c r="G313" s="84"/>
      <c r="H313" s="84"/>
      <c r="I313" s="84"/>
      <c r="J313" s="84"/>
      <c r="K313" s="84"/>
      <c r="L313" s="84"/>
      <c r="M313" s="84"/>
    </row>
    <row r="314" spans="2:13">
      <c r="B314" s="41" t="s">
        <v>17</v>
      </c>
      <c r="F314" s="58">
        <f t="shared" ref="F314:M314" si="96">F189</f>
        <v>460464</v>
      </c>
      <c r="G314" s="58">
        <f t="shared" si="96"/>
        <v>467000</v>
      </c>
      <c r="H314" s="58">
        <f t="shared" si="96"/>
        <v>487836</v>
      </c>
      <c r="I314" s="58">
        <f t="shared" si="96"/>
        <v>502241.77799999999</v>
      </c>
      <c r="J314" s="58">
        <f t="shared" si="96"/>
        <v>514928.91407399997</v>
      </c>
      <c r="K314" s="58">
        <f t="shared" si="96"/>
        <v>528283.27037770196</v>
      </c>
      <c r="L314" s="58">
        <f t="shared" si="96"/>
        <v>542092.91288398905</v>
      </c>
      <c r="M314" s="58">
        <f t="shared" si="96"/>
        <v>555094.78224536486</v>
      </c>
    </row>
    <row r="315" spans="2:13">
      <c r="B315" s="41" t="s">
        <v>68</v>
      </c>
      <c r="D315" s="41"/>
      <c r="F315" s="58">
        <f>F89</f>
        <v>5622</v>
      </c>
      <c r="G315" s="58">
        <f>G89</f>
        <v>5990</v>
      </c>
      <c r="H315" s="58">
        <f>H89</f>
        <v>6431</v>
      </c>
      <c r="I315" s="58">
        <f>I314*I316</f>
        <v>6278.0222250000006</v>
      </c>
      <c r="J315" s="58">
        <f>J314*J316</f>
        <v>6436.6114259249998</v>
      </c>
      <c r="K315" s="58">
        <f>K314*K316</f>
        <v>6603.5408797212749</v>
      </c>
      <c r="L315" s="58">
        <f>L314*L316</f>
        <v>6776.1614110498631</v>
      </c>
      <c r="M315" s="58">
        <f>M314*M316</f>
        <v>6938.6847780670614</v>
      </c>
    </row>
    <row r="316" spans="2:13">
      <c r="B316" s="39" t="s">
        <v>161</v>
      </c>
      <c r="F316" s="98">
        <f>F315/F314</f>
        <v>1.2209423537996455E-2</v>
      </c>
      <c r="G316" s="98">
        <f>G315/G314</f>
        <v>1.2826552462526767E-2</v>
      </c>
      <c r="H316" s="98">
        <f>H315/H314</f>
        <v>1.3182708943169426E-2</v>
      </c>
      <c r="I316" s="113">
        <v>1.2500000000000001E-2</v>
      </c>
      <c r="J316" s="113">
        <v>1.2500000000000001E-2</v>
      </c>
      <c r="K316" s="113">
        <v>1.2500000000000001E-2</v>
      </c>
      <c r="L316" s="113">
        <v>1.2500000000000001E-2</v>
      </c>
      <c r="M316" s="113">
        <v>1.2500000000000001E-2</v>
      </c>
    </row>
    <row r="318" spans="2:13">
      <c r="B318" s="28" t="s">
        <v>184</v>
      </c>
    </row>
    <row r="319" spans="2:13" ht="16.5" customHeight="1">
      <c r="B319" s="41" t="s">
        <v>74</v>
      </c>
      <c r="F319" s="58">
        <f>F95</f>
        <v>-10311</v>
      </c>
      <c r="G319" s="58">
        <f>G95</f>
        <v>-10518</v>
      </c>
      <c r="H319" s="58">
        <f>H95</f>
        <v>-19762</v>
      </c>
      <c r="I319" s="58">
        <f>H319*(1+I320)</f>
        <v>-20453.669999999998</v>
      </c>
      <c r="J319" s="58">
        <f>I319*(1+J320)</f>
        <v>-21169.548449999995</v>
      </c>
      <c r="K319" s="58">
        <f>J319*(1+K320)</f>
        <v>-21910.482645749991</v>
      </c>
      <c r="L319" s="58">
        <f>K319*(1+L320)</f>
        <v>-22677.349538351238</v>
      </c>
      <c r="M319" s="58">
        <f>L319*(1+M320)</f>
        <v>-23471.056772193529</v>
      </c>
    </row>
    <row r="320" spans="2:13">
      <c r="B320" s="39" t="s">
        <v>165</v>
      </c>
      <c r="F320" s="114" t="str">
        <f>IFERROR((F319/E319)-1,"N/A")</f>
        <v>N/A</v>
      </c>
      <c r="G320" s="91">
        <f>IFERROR((G319/F319)-1,"N/A")</f>
        <v>2.0075647366889715E-2</v>
      </c>
      <c r="H320" s="91">
        <f>IFERROR((H319/G319)-1,"N/A")</f>
        <v>0.8788743107054573</v>
      </c>
      <c r="I320" s="113">
        <v>3.5000000000000003E-2</v>
      </c>
      <c r="J320" s="113">
        <v>3.5000000000000003E-2</v>
      </c>
      <c r="K320" s="113">
        <v>3.5000000000000003E-2</v>
      </c>
      <c r="L320" s="113">
        <v>3.5000000000000003E-2</v>
      </c>
      <c r="M320" s="113">
        <v>3.5000000000000003E-2</v>
      </c>
    </row>
    <row r="321" spans="2:13">
      <c r="B321" s="41" t="s">
        <v>186</v>
      </c>
      <c r="F321" s="58">
        <f>F96</f>
        <v>5298</v>
      </c>
      <c r="G321" s="58">
        <f>G96</f>
        <v>7062</v>
      </c>
      <c r="H321" s="58">
        <f>H96</f>
        <v>14309</v>
      </c>
      <c r="I321" s="58">
        <f>H321*(1+I322)</f>
        <v>13879.73</v>
      </c>
      <c r="J321" s="58">
        <f>I321*(1+J322)</f>
        <v>13393.93945</v>
      </c>
      <c r="K321" s="58">
        <f>J321*(1+K322)</f>
        <v>13126.060661</v>
      </c>
      <c r="L321" s="58">
        <f>K321*(1+L322)</f>
        <v>13126.060661</v>
      </c>
      <c r="M321" s="58">
        <f>L321*(1+M322)</f>
        <v>13388.581874219999</v>
      </c>
    </row>
    <row r="322" spans="2:13">
      <c r="B322" s="39" t="s">
        <v>165</v>
      </c>
      <c r="F322" s="114" t="str">
        <f>IFERROR((F321/E321)-1,"N/A")</f>
        <v>N/A</v>
      </c>
      <c r="G322" s="91">
        <f>IFERROR((G321/F321)-1,"N/A")</f>
        <v>0.33295583238958093</v>
      </c>
      <c r="H322" s="91">
        <f>IFERROR((H321/G321)-1,"N/A")</f>
        <v>1.0261965448881338</v>
      </c>
      <c r="I322" s="113">
        <v>-0.03</v>
      </c>
      <c r="J322" s="113">
        <v>-3.5000000000000003E-2</v>
      </c>
      <c r="K322" s="113">
        <v>-0.02</v>
      </c>
      <c r="L322" s="113">
        <v>0</v>
      </c>
      <c r="M322" s="113">
        <v>0.02</v>
      </c>
    </row>
    <row r="323" spans="2:13">
      <c r="B323" s="41" t="s">
        <v>181</v>
      </c>
      <c r="F323" s="58">
        <f>F97</f>
        <v>-3961</v>
      </c>
      <c r="G323" s="58">
        <f>G97</f>
        <v>-4364</v>
      </c>
      <c r="H323" s="58">
        <f>H97</f>
        <v>-5071</v>
      </c>
      <c r="I323" s="58">
        <f>H323*(1+I324)</f>
        <v>-5248.4849999999997</v>
      </c>
      <c r="J323" s="58">
        <f>I323*(1+J324)</f>
        <v>-5432.1819749999995</v>
      </c>
      <c r="K323" s="58">
        <f>J323*(1+K324)</f>
        <v>-5622.3083441249992</v>
      </c>
      <c r="L323" s="58">
        <f>K323*(1+L324)</f>
        <v>-5819.0891361693739</v>
      </c>
      <c r="M323" s="58">
        <f>L323*(1+M324)</f>
        <v>-6022.7572559353011</v>
      </c>
    </row>
    <row r="324" spans="2:13">
      <c r="B324" s="39" t="s">
        <v>165</v>
      </c>
      <c r="F324" s="114" t="str">
        <f>IFERROR((F323/E323)-1,"N/A")</f>
        <v>N/A</v>
      </c>
      <c r="G324" s="91">
        <f>IFERROR((G323/F323)-1,"N/A")</f>
        <v>0.10174198434738702</v>
      </c>
      <c r="H324" s="91">
        <f>IFERROR((H323/G323)-1,"N/A")</f>
        <v>0.16200733272227308</v>
      </c>
      <c r="I324" s="113">
        <v>3.5000000000000003E-2</v>
      </c>
      <c r="J324" s="113">
        <v>3.5000000000000003E-2</v>
      </c>
      <c r="K324" s="113">
        <v>3.5000000000000003E-2</v>
      </c>
      <c r="L324" s="113">
        <v>3.5000000000000003E-2</v>
      </c>
      <c r="M324" s="113">
        <v>3.5000000000000003E-2</v>
      </c>
    </row>
    <row r="325" spans="2:13">
      <c r="B325" s="41" t="s">
        <v>182</v>
      </c>
      <c r="F325" s="58">
        <f>F98</f>
        <v>-1494</v>
      </c>
      <c r="G325" s="58">
        <f>G98</f>
        <v>-1259</v>
      </c>
      <c r="H325" s="58">
        <f>H98</f>
        <v>-1252</v>
      </c>
      <c r="I325" s="58">
        <f>H325*(1+I326)</f>
        <v>-1252</v>
      </c>
      <c r="J325" s="58">
        <f>I325*(1+J326)</f>
        <v>-1239.48</v>
      </c>
      <c r="K325" s="58">
        <f>J325*(1+K326)</f>
        <v>-1239.48</v>
      </c>
      <c r="L325" s="58">
        <f>K325*(1+L326)</f>
        <v>-1251.8748000000001</v>
      </c>
      <c r="M325" s="58">
        <f>L325*(1+M326)</f>
        <v>-1276.912296</v>
      </c>
    </row>
    <row r="326" spans="2:13">
      <c r="B326" s="39" t="s">
        <v>165</v>
      </c>
      <c r="F326" s="114" t="str">
        <f>IFERROR((F325/E325)-1,"N/A")</f>
        <v>N/A</v>
      </c>
      <c r="G326" s="91">
        <f>IFERROR((G325/F325)-1,"N/A")</f>
        <v>-0.15729585006693436</v>
      </c>
      <c r="H326" s="91">
        <f>IFERROR((H325/G325)-1,"N/A")</f>
        <v>-5.5599682287529317E-3</v>
      </c>
      <c r="I326" s="113">
        <v>0</v>
      </c>
      <c r="J326" s="113">
        <v>-0.01</v>
      </c>
      <c r="K326" s="113">
        <v>0</v>
      </c>
      <c r="L326" s="113">
        <v>0.01</v>
      </c>
      <c r="M326" s="113">
        <v>0.02</v>
      </c>
    </row>
    <row r="327" spans="2:13">
      <c r="B327" s="41" t="s">
        <v>183</v>
      </c>
      <c r="F327" s="58">
        <f>F99</f>
        <v>1027</v>
      </c>
      <c r="G327" s="58">
        <f>G99</f>
        <v>1505</v>
      </c>
      <c r="H327" s="58">
        <f>H99</f>
        <v>1560</v>
      </c>
      <c r="I327" s="58">
        <f>H327*(1+I328)</f>
        <v>1614.6</v>
      </c>
      <c r="J327" s="58">
        <f>I327*(1+J328)</f>
        <v>1671.1109999999999</v>
      </c>
      <c r="K327" s="58">
        <f>J327*(1+K328)</f>
        <v>1729.5998849999996</v>
      </c>
      <c r="L327" s="58">
        <f>K327*(1+L328)</f>
        <v>1790.1358809749995</v>
      </c>
      <c r="M327" s="58">
        <f>L327*(1+M328)</f>
        <v>1852.7906368091244</v>
      </c>
    </row>
    <row r="328" spans="2:13">
      <c r="B328" s="39" t="s">
        <v>165</v>
      </c>
      <c r="F328" s="114" t="str">
        <f>IFERROR((F327/E327)-1,"N/A")</f>
        <v>N/A</v>
      </c>
      <c r="G328" s="91">
        <f>IFERROR((G327/F327)-1,"N/A")</f>
        <v>0.46543330087633894</v>
      </c>
      <c r="H328" s="91">
        <f>IFERROR((H327/G327)-1,"N/A")</f>
        <v>3.6544850498338777E-2</v>
      </c>
      <c r="I328" s="113">
        <v>3.5000000000000003E-2</v>
      </c>
      <c r="J328" s="113">
        <v>3.5000000000000003E-2</v>
      </c>
      <c r="K328" s="113">
        <v>3.5000000000000003E-2</v>
      </c>
      <c r="L328" s="113">
        <v>3.5000000000000003E-2</v>
      </c>
      <c r="M328" s="113">
        <v>3.5000000000000003E-2</v>
      </c>
    </row>
    <row r="330" spans="2:13" ht="15.75">
      <c r="B330" s="108" t="s">
        <v>175</v>
      </c>
      <c r="C330" s="108"/>
      <c r="D330" s="108"/>
      <c r="E330" s="108"/>
      <c r="F330" s="108"/>
      <c r="G330" s="109"/>
      <c r="H330" s="109"/>
      <c r="I330" s="110"/>
      <c r="J330" s="110"/>
      <c r="K330" s="110"/>
      <c r="L330" s="110"/>
      <c r="M330" s="110"/>
    </row>
    <row r="332" spans="2:13">
      <c r="B332" s="35" t="s">
        <v>10</v>
      </c>
      <c r="C332" s="36"/>
      <c r="D332" s="36"/>
      <c r="E332" s="36"/>
      <c r="F332" s="37">
        <f>F$5</f>
        <v>2023</v>
      </c>
      <c r="G332" s="37">
        <f t="shared" ref="G332:M332" si="97">G$5</f>
        <v>2024</v>
      </c>
      <c r="H332" s="37">
        <f t="shared" si="97"/>
        <v>2025</v>
      </c>
      <c r="I332" s="38">
        <f t="shared" si="97"/>
        <v>2026</v>
      </c>
      <c r="J332" s="38">
        <f t="shared" si="97"/>
        <v>2027</v>
      </c>
      <c r="K332" s="38">
        <f t="shared" si="97"/>
        <v>2028</v>
      </c>
      <c r="L332" s="38">
        <f t="shared" si="97"/>
        <v>2029</v>
      </c>
      <c r="M332" s="38">
        <f t="shared" si="97"/>
        <v>2030</v>
      </c>
    </row>
    <row r="333" spans="2:13">
      <c r="E333" s="41"/>
      <c r="F333" s="98"/>
      <c r="G333" s="98"/>
      <c r="H333" s="98"/>
      <c r="I333" s="98"/>
      <c r="J333" s="98"/>
      <c r="K333" s="98"/>
      <c r="L333" s="98"/>
      <c r="M333" s="98"/>
    </row>
    <row r="334" spans="2:13">
      <c r="B334" s="28" t="s">
        <v>180</v>
      </c>
      <c r="F334" s="84"/>
      <c r="G334" s="84"/>
      <c r="H334" s="84"/>
      <c r="I334" s="84"/>
      <c r="J334" s="84"/>
      <c r="K334" s="84"/>
      <c r="L334" s="84"/>
      <c r="M334" s="84"/>
    </row>
    <row r="335" spans="2:13">
      <c r="B335" s="41" t="s">
        <v>24</v>
      </c>
      <c r="D335" s="41"/>
      <c r="F335" s="58">
        <f>F9</f>
        <v>203318</v>
      </c>
      <c r="G335" s="58">
        <f>G9</f>
        <v>215925</v>
      </c>
      <c r="H335" s="58">
        <f>H9</f>
        <v>240413</v>
      </c>
      <c r="I335" s="58">
        <f>H335*(1+I336)</f>
        <v>248827.45499999999</v>
      </c>
      <c r="J335" s="58">
        <f t="shared" ref="J335:M335" si="98">I335*(1+J336)</f>
        <v>257536.41592499998</v>
      </c>
      <c r="K335" s="58">
        <f t="shared" si="98"/>
        <v>266550.19048237498</v>
      </c>
      <c r="L335" s="58">
        <f t="shared" si="98"/>
        <v>275879.44714925811</v>
      </c>
      <c r="M335" s="58">
        <f t="shared" si="98"/>
        <v>285535.22779948212</v>
      </c>
    </row>
    <row r="336" spans="2:13">
      <c r="B336" s="39" t="s">
        <v>165</v>
      </c>
      <c r="F336" s="114" t="str">
        <f>IFERROR((F335/E335)-1,"N/A")</f>
        <v>N/A</v>
      </c>
      <c r="G336" s="114">
        <f t="shared" ref="G336" si="99">IFERROR((G335/F335)-1,"N/A")</f>
        <v>6.2006315230328735E-2</v>
      </c>
      <c r="H336" s="114">
        <f t="shared" ref="H336" si="100">IFERROR((H335/G335)-1,"N/A")</f>
        <v>0.11340974875535492</v>
      </c>
      <c r="I336" s="113">
        <v>3.5000000000000003E-2</v>
      </c>
      <c r="J336" s="113">
        <v>3.5000000000000003E-2</v>
      </c>
      <c r="K336" s="113">
        <v>3.5000000000000003E-2</v>
      </c>
      <c r="L336" s="113">
        <v>3.5000000000000003E-2</v>
      </c>
      <c r="M336" s="113">
        <v>3.5000000000000003E-2</v>
      </c>
    </row>
    <row r="337" spans="2:13">
      <c r="B337" s="41" t="s">
        <v>34</v>
      </c>
      <c r="F337" s="58">
        <f>F10</f>
        <v>22356</v>
      </c>
      <c r="G337" s="58">
        <f>G10</f>
        <v>24065</v>
      </c>
      <c r="H337" s="58">
        <f>H10</f>
        <v>19727</v>
      </c>
      <c r="I337" s="58">
        <f>H337*(1+I338)</f>
        <v>20417.445</v>
      </c>
      <c r="J337" s="58">
        <f t="shared" ref="J337:M337" si="101">I337*(1+J338)</f>
        <v>21132.055574999998</v>
      </c>
      <c r="K337" s="58">
        <f t="shared" si="101"/>
        <v>21871.677520124998</v>
      </c>
      <c r="L337" s="58">
        <f t="shared" si="101"/>
        <v>22637.186233329372</v>
      </c>
      <c r="M337" s="58">
        <f t="shared" si="101"/>
        <v>23429.487751495897</v>
      </c>
    </row>
    <row r="338" spans="2:13">
      <c r="B338" s="39" t="s">
        <v>165</v>
      </c>
      <c r="F338" s="114" t="str">
        <f>IFERROR((F337/E337)-1,"N/A")</f>
        <v>N/A</v>
      </c>
      <c r="G338" s="114">
        <f t="shared" ref="G338" si="102">IFERROR((G337/F337)-1,"N/A")</f>
        <v>7.6444802290212888E-2</v>
      </c>
      <c r="H338" s="114">
        <f t="shared" ref="H338" si="103">IFERROR((H337/G337)-1,"N/A")</f>
        <v>-0.18026179098275508</v>
      </c>
      <c r="I338" s="113">
        <v>3.5000000000000003E-2</v>
      </c>
      <c r="J338" s="113">
        <v>3.5000000000000003E-2</v>
      </c>
      <c r="K338" s="113">
        <v>3.5000000000000003E-2</v>
      </c>
      <c r="L338" s="113">
        <v>3.5000000000000003E-2</v>
      </c>
      <c r="M338" s="113">
        <v>3.5000000000000003E-2</v>
      </c>
    </row>
    <row r="339" spans="2:13">
      <c r="B339" s="41" t="s">
        <v>37</v>
      </c>
      <c r="F339" s="58">
        <f>F13</f>
        <v>38771</v>
      </c>
      <c r="G339" s="58">
        <f>G13</f>
        <v>49476</v>
      </c>
      <c r="H339" s="58">
        <f>H13</f>
        <v>49476</v>
      </c>
      <c r="I339" s="58">
        <f>H339*(1+I340)</f>
        <v>51207.659999999996</v>
      </c>
      <c r="J339" s="58">
        <f t="shared" ref="J339:M339" si="104">I339*(1+J340)</f>
        <v>52999.92809999999</v>
      </c>
      <c r="K339" s="58">
        <f t="shared" si="104"/>
        <v>54854.925583499986</v>
      </c>
      <c r="L339" s="58">
        <f t="shared" si="104"/>
        <v>56774.84797892248</v>
      </c>
      <c r="M339" s="58">
        <f t="shared" si="104"/>
        <v>58761.96765818476</v>
      </c>
    </row>
    <row r="340" spans="2:13">
      <c r="B340" s="39" t="s">
        <v>165</v>
      </c>
      <c r="F340" s="114" t="str">
        <f>IFERROR((F339/E339)-1,"N/A")</f>
        <v>N/A</v>
      </c>
      <c r="G340" s="91">
        <f t="shared" ref="G340" si="105">IFERROR((G339/F339)-1,"N/A")</f>
        <v>0.27610843155967091</v>
      </c>
      <c r="H340" s="91">
        <f t="shared" ref="H340" si="106">IFERROR((H339/G339)-1,"N/A")</f>
        <v>0</v>
      </c>
      <c r="I340" s="113">
        <v>3.5000000000000003E-2</v>
      </c>
      <c r="J340" s="113">
        <v>3.5000000000000003E-2</v>
      </c>
      <c r="K340" s="113">
        <v>3.5000000000000003E-2</v>
      </c>
      <c r="L340" s="113">
        <v>3.5000000000000003E-2</v>
      </c>
      <c r="M340" s="113">
        <v>3.5000000000000003E-2</v>
      </c>
    </row>
    <row r="341" spans="2:13">
      <c r="B341" s="41" t="s">
        <v>25</v>
      </c>
      <c r="F341" s="58">
        <f>F15</f>
        <v>27592</v>
      </c>
      <c r="G341" s="58">
        <f>G15</f>
        <v>30690</v>
      </c>
      <c r="H341" s="58">
        <f>H15</f>
        <v>36320</v>
      </c>
      <c r="I341" s="58">
        <f>H341*(1+I342)</f>
        <v>37591.199999999997</v>
      </c>
      <c r="J341" s="58">
        <f t="shared" ref="J341" si="107">I341*(1+J342)</f>
        <v>38906.891999999993</v>
      </c>
      <c r="K341" s="58">
        <f t="shared" ref="K341" si="108">J341*(1+K342)</f>
        <v>40268.633219999989</v>
      </c>
      <c r="L341" s="58">
        <f t="shared" ref="L341" si="109">K341*(1+L342)</f>
        <v>41678.035382699985</v>
      </c>
      <c r="M341" s="58">
        <f t="shared" ref="M341" si="110">L341*(1+M342)</f>
        <v>43136.766621094481</v>
      </c>
    </row>
    <row r="342" spans="2:13">
      <c r="B342" s="39" t="s">
        <v>165</v>
      </c>
      <c r="F342" s="114" t="str">
        <f>IFERROR((F341/E341)-1,"N/A")</f>
        <v>N/A</v>
      </c>
      <c r="G342" s="91">
        <f t="shared" ref="G342" si="111">IFERROR((G341/F341)-1,"N/A")</f>
        <v>0.11227892142650053</v>
      </c>
      <c r="H342" s="91">
        <f t="shared" ref="H342" si="112">IFERROR((H341/G341)-1,"N/A")</f>
        <v>0.18344737699576408</v>
      </c>
      <c r="I342" s="113">
        <v>3.5000000000000003E-2</v>
      </c>
      <c r="J342" s="113">
        <v>3.5000000000000003E-2</v>
      </c>
      <c r="K342" s="113">
        <v>3.5000000000000003E-2</v>
      </c>
      <c r="L342" s="113">
        <v>3.5000000000000003E-2</v>
      </c>
      <c r="M342" s="113">
        <v>3.5000000000000003E-2</v>
      </c>
    </row>
    <row r="343" spans="2:13">
      <c r="B343" s="41"/>
      <c r="F343" s="58"/>
      <c r="G343" s="58"/>
      <c r="H343" s="58"/>
      <c r="I343" s="58"/>
      <c r="J343" s="58"/>
      <c r="K343" s="58"/>
      <c r="L343" s="58"/>
      <c r="M343" s="58"/>
    </row>
    <row r="344" spans="2:13">
      <c r="B344" s="28" t="s">
        <v>13</v>
      </c>
      <c r="F344" s="84"/>
      <c r="G344" s="84"/>
      <c r="H344" s="84"/>
      <c r="I344" s="84"/>
      <c r="J344" s="84"/>
      <c r="K344" s="84"/>
      <c r="L344" s="84"/>
      <c r="M344" s="84"/>
    </row>
    <row r="345" spans="2:13">
      <c r="B345" s="41" t="s">
        <v>41</v>
      </c>
      <c r="D345" s="41"/>
      <c r="F345" s="58">
        <f>F24</f>
        <v>24914</v>
      </c>
      <c r="G345" s="58">
        <f>G24</f>
        <v>27611</v>
      </c>
      <c r="H345" s="58">
        <f>H24</f>
        <v>27909</v>
      </c>
      <c r="I345" s="58">
        <f>H345*(1+I346)</f>
        <v>28885.814999999999</v>
      </c>
      <c r="J345" s="58">
        <f t="shared" ref="J345" si="113">I345*(1+J346)</f>
        <v>29896.818524999995</v>
      </c>
      <c r="K345" s="58">
        <f t="shared" ref="K345" si="114">J345*(1+K346)</f>
        <v>30943.207173374991</v>
      </c>
      <c r="L345" s="58">
        <f t="shared" ref="L345" si="115">K345*(1+L346)</f>
        <v>32026.219424443112</v>
      </c>
      <c r="M345" s="58">
        <f t="shared" ref="M345" si="116">L345*(1+M346)</f>
        <v>33147.137104298621</v>
      </c>
    </row>
    <row r="346" spans="2:13">
      <c r="B346" s="39" t="s">
        <v>165</v>
      </c>
      <c r="F346" s="114" t="str">
        <f>IFERROR((F345/E345)-1,"N/A")</f>
        <v>N/A</v>
      </c>
      <c r="G346" s="114">
        <f t="shared" ref="G346" si="117">IFERROR((G345/F345)-1,"N/A")</f>
        <v>0.10825238821546113</v>
      </c>
      <c r="H346" s="114">
        <f t="shared" ref="H346" si="118">IFERROR((H345/G345)-1,"N/A")</f>
        <v>1.0792799971026001E-2</v>
      </c>
      <c r="I346" s="113">
        <v>3.5000000000000003E-2</v>
      </c>
      <c r="J346" s="113">
        <v>3.5000000000000003E-2</v>
      </c>
      <c r="K346" s="113">
        <v>3.5000000000000003E-2</v>
      </c>
      <c r="L346" s="113">
        <v>3.5000000000000003E-2</v>
      </c>
      <c r="M346" s="113">
        <v>3.5000000000000003E-2</v>
      </c>
    </row>
    <row r="347" spans="2:13">
      <c r="B347" s="41" t="s">
        <v>34</v>
      </c>
      <c r="F347" s="58">
        <f>F25</f>
        <v>20149</v>
      </c>
      <c r="G347" s="58">
        <f>G25</f>
        <v>21676</v>
      </c>
      <c r="H347" s="58">
        <f>H25</f>
        <v>16132</v>
      </c>
      <c r="I347" s="58">
        <f>H347*(1+I348)</f>
        <v>16696.62</v>
      </c>
      <c r="J347" s="58">
        <f t="shared" ref="J347" si="119">I347*(1+J348)</f>
        <v>17281.001699999997</v>
      </c>
      <c r="K347" s="58">
        <f t="shared" ref="K347" si="120">J347*(1+K348)</f>
        <v>17885.836759499995</v>
      </c>
      <c r="L347" s="58">
        <f t="shared" ref="L347" si="121">K347*(1+L348)</f>
        <v>18511.841046082493</v>
      </c>
      <c r="M347" s="58">
        <f t="shared" ref="M347" si="122">L347*(1+M348)</f>
        <v>19159.755482695378</v>
      </c>
    </row>
    <row r="348" spans="2:13">
      <c r="B348" s="39" t="s">
        <v>165</v>
      </c>
      <c r="F348" s="114" t="str">
        <f>IFERROR((F347/E347)-1,"N/A")</f>
        <v>N/A</v>
      </c>
      <c r="G348" s="114">
        <f t="shared" ref="G348" si="123">IFERROR((G347/F347)-1,"N/A")</f>
        <v>7.5785398779095736E-2</v>
      </c>
      <c r="H348" s="114">
        <f t="shared" ref="H348" si="124">IFERROR((H347/G347)-1,"N/A")</f>
        <v>-0.25576674663221999</v>
      </c>
      <c r="I348" s="113">
        <v>3.5000000000000003E-2</v>
      </c>
      <c r="J348" s="113">
        <v>3.5000000000000003E-2</v>
      </c>
      <c r="K348" s="113">
        <v>3.5000000000000003E-2</v>
      </c>
      <c r="L348" s="113">
        <v>3.5000000000000003E-2</v>
      </c>
      <c r="M348" s="113">
        <v>3.5000000000000003E-2</v>
      </c>
    </row>
    <row r="349" spans="2:13">
      <c r="B349" s="41" t="s">
        <v>26</v>
      </c>
      <c r="F349" s="58">
        <f>F27</f>
        <v>165101</v>
      </c>
      <c r="G349" s="58">
        <f>G27</f>
        <v>173292</v>
      </c>
      <c r="H349" s="58">
        <f>H27</f>
        <v>196924</v>
      </c>
      <c r="I349" s="58">
        <f>H349*(1+I350)</f>
        <v>203816.34</v>
      </c>
      <c r="J349" s="58">
        <f t="shared" ref="J349" si="125">I349*(1+J350)</f>
        <v>210949.91189999998</v>
      </c>
      <c r="K349" s="58">
        <f t="shared" ref="K349" si="126">J349*(1+K350)</f>
        <v>218333.15881649996</v>
      </c>
      <c r="L349" s="58">
        <f t="shared" ref="L349" si="127">K349*(1+L350)</f>
        <v>225974.81937507744</v>
      </c>
      <c r="M349" s="58">
        <f t="shared" ref="M349" si="128">L349*(1+M350)</f>
        <v>233883.93805320514</v>
      </c>
    </row>
    <row r="350" spans="2:13">
      <c r="B350" s="39" t="s">
        <v>165</v>
      </c>
      <c r="F350" s="114" t="str">
        <f>IFERROR((F349/E349)-1,"N/A")</f>
        <v>N/A</v>
      </c>
      <c r="G350" s="91">
        <f t="shared" ref="G350" si="129">IFERROR((G349/F349)-1,"N/A")</f>
        <v>4.9612055650783526E-2</v>
      </c>
      <c r="H350" s="91">
        <f t="shared" ref="H350" si="130">IFERROR((H349/G349)-1,"N/A")</f>
        <v>0.13637098077233811</v>
      </c>
      <c r="I350" s="113">
        <v>3.5000000000000003E-2</v>
      </c>
      <c r="J350" s="113">
        <v>3.5000000000000003E-2</v>
      </c>
      <c r="K350" s="113">
        <v>3.5000000000000003E-2</v>
      </c>
      <c r="L350" s="113">
        <v>3.5000000000000003E-2</v>
      </c>
      <c r="M350" s="113">
        <v>3.5000000000000003E-2</v>
      </c>
    </row>
  </sheetData>
  <conditionalFormatting sqref="F40:M40">
    <cfRule type="cellIs" dxfId="0" priority="2" operator="notEqual">
      <formula>0</formula>
    </cfRule>
  </conditionalFormatting>
  <pageMargins left="0.7" right="0.7" top="0.75" bottom="0.75" header="0.3" footer="0.3"/>
  <pageSetup paperSize="9" orientation="portrait" r:id="rId1"/>
  <ignoredErrors>
    <ignoredError sqref="I26:M26 F337:H342 F347:H350 F321:H328 F300:H300 I36:M36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AACE2-E4F3-4999-B796-6F1729C75A48}">
  <dimension ref="B2:M33"/>
  <sheetViews>
    <sheetView showGridLines="0" zoomScaleNormal="100" workbookViewId="0">
      <selection activeCell="J9" sqref="J9"/>
    </sheetView>
  </sheetViews>
  <sheetFormatPr defaultRowHeight="15"/>
  <cols>
    <col min="1" max="7" width="9.140625" style="125"/>
    <col min="8" max="8" width="9.85546875" style="125" bestFit="1" customWidth="1"/>
    <col min="9" max="16384" width="9.140625" style="125"/>
  </cols>
  <sheetData>
    <row r="2" spans="2:13" ht="16.5" customHeight="1">
      <c r="B2" s="31" t="s">
        <v>209</v>
      </c>
      <c r="C2" s="32"/>
      <c r="D2" s="32"/>
      <c r="E2" s="32"/>
      <c r="F2" s="32"/>
      <c r="G2" s="33"/>
      <c r="H2" s="33"/>
      <c r="I2" s="32"/>
      <c r="J2" s="32"/>
      <c r="K2" s="33"/>
      <c r="L2" s="33"/>
      <c r="M2" s="33"/>
    </row>
    <row r="4" spans="2:13">
      <c r="B4" s="35" t="s">
        <v>10</v>
      </c>
      <c r="C4" s="36"/>
      <c r="D4" s="36"/>
      <c r="E4" s="36"/>
      <c r="F4" s="36"/>
      <c r="G4" s="36"/>
      <c r="H4" s="126"/>
    </row>
    <row r="5" spans="2:13">
      <c r="C5" s="36"/>
      <c r="D5" s="36"/>
      <c r="E5" s="36"/>
      <c r="F5" s="36"/>
      <c r="G5" s="36"/>
      <c r="H5" s="126"/>
    </row>
    <row r="6" spans="2:13">
      <c r="B6" s="142" t="s">
        <v>195</v>
      </c>
      <c r="C6" s="8"/>
      <c r="E6" s="8"/>
      <c r="F6" s="36"/>
      <c r="G6" s="36"/>
      <c r="H6" s="132"/>
    </row>
    <row r="7" spans="2:13">
      <c r="B7" s="146"/>
      <c r="C7" s="146"/>
      <c r="D7" s="146"/>
      <c r="E7" s="146"/>
      <c r="F7" s="146"/>
      <c r="G7" s="144"/>
      <c r="H7" s="145"/>
    </row>
    <row r="8" spans="2:13">
      <c r="B8" s="127" t="s">
        <v>196</v>
      </c>
      <c r="G8" s="36"/>
      <c r="H8" s="147">
        <v>4.41E-2</v>
      </c>
    </row>
    <row r="9" spans="2:13">
      <c r="B9" s="127" t="s">
        <v>197</v>
      </c>
      <c r="D9" s="8"/>
      <c r="G9" s="36"/>
      <c r="H9" s="147">
        <v>5.0099999999999999E-2</v>
      </c>
    </row>
    <row r="10" spans="2:13">
      <c r="B10" s="127" t="s">
        <v>198</v>
      </c>
      <c r="D10" s="8"/>
      <c r="G10" s="36"/>
      <c r="H10" s="148">
        <v>0.93</v>
      </c>
    </row>
    <row r="11" spans="2:13">
      <c r="B11" s="127" t="s">
        <v>195</v>
      </c>
      <c r="D11" s="8"/>
      <c r="G11" s="36"/>
      <c r="H11" s="136">
        <f>ROUND(H8+(H9*H10),3)</f>
        <v>9.0999999999999998E-2</v>
      </c>
    </row>
    <row r="12" spans="2:13">
      <c r="C12" s="36"/>
      <c r="D12" s="36"/>
      <c r="E12" s="36"/>
      <c r="F12" s="36"/>
      <c r="G12" s="36"/>
      <c r="H12" s="132"/>
    </row>
    <row r="13" spans="2:13">
      <c r="C13" s="36"/>
      <c r="D13" s="36"/>
      <c r="E13" s="36"/>
      <c r="F13" s="36"/>
      <c r="G13" s="36"/>
      <c r="H13" s="132"/>
      <c r="L13" s="441"/>
    </row>
    <row r="14" spans="2:13">
      <c r="B14" s="142" t="s">
        <v>199</v>
      </c>
      <c r="C14" s="8"/>
      <c r="E14" s="8"/>
      <c r="F14" s="36"/>
      <c r="G14" s="36"/>
      <c r="H14" s="132"/>
    </row>
    <row r="15" spans="2:13">
      <c r="B15" s="143"/>
      <c r="C15" s="144"/>
      <c r="D15" s="144"/>
      <c r="E15" s="144"/>
      <c r="F15" s="144"/>
      <c r="G15" s="144"/>
      <c r="H15" s="141"/>
    </row>
    <row r="16" spans="2:13">
      <c r="B16" s="39" t="str">
        <f>'Financial Model'!M123&amp;"F Ending Return on Equity"</f>
        <v>2030F Ending Return on Equity</v>
      </c>
      <c r="D16" s="41"/>
      <c r="E16" s="41"/>
      <c r="H16" s="149">
        <f>'Financial Model'!M134</f>
        <v>0.1393343706982404</v>
      </c>
    </row>
    <row r="17" spans="2:11">
      <c r="B17" s="39" t="s">
        <v>365</v>
      </c>
      <c r="H17" s="472">
        <f>AVERAGE('Financial Model'!I280:M280)</f>
        <v>0.83545913914401804</v>
      </c>
      <c r="I17" s="470"/>
    </row>
    <row r="18" spans="2:11">
      <c r="B18" s="39" t="s">
        <v>364</v>
      </c>
      <c r="D18" s="41"/>
      <c r="E18" s="41"/>
      <c r="H18" s="471">
        <v>0.79</v>
      </c>
    </row>
    <row r="19" spans="2:11">
      <c r="B19" s="39" t="s">
        <v>200</v>
      </c>
      <c r="D19" s="41"/>
      <c r="E19" s="41"/>
      <c r="H19" s="133">
        <f>1-H18</f>
        <v>0.20999999999999996</v>
      </c>
      <c r="I19" s="41"/>
      <c r="K19" s="441"/>
    </row>
    <row r="20" spans="2:11">
      <c r="B20" s="39" t="s">
        <v>201</v>
      </c>
      <c r="D20" s="41"/>
      <c r="E20" s="41"/>
      <c r="H20" s="137">
        <f>H16*H19</f>
        <v>2.9260217846630479E-2</v>
      </c>
    </row>
    <row r="21" spans="2:11">
      <c r="C21" s="36"/>
      <c r="D21" s="36"/>
      <c r="E21" s="36"/>
      <c r="F21" s="36"/>
      <c r="G21" s="36"/>
      <c r="H21" s="132"/>
    </row>
    <row r="22" spans="2:11">
      <c r="B22" s="142" t="s">
        <v>202</v>
      </c>
      <c r="C22" s="8"/>
      <c r="E22" s="8"/>
      <c r="F22" s="36"/>
      <c r="G22" s="36"/>
      <c r="H22" s="132"/>
    </row>
    <row r="23" spans="2:11">
      <c r="B23" s="143"/>
      <c r="C23" s="144"/>
      <c r="D23" s="144"/>
      <c r="E23" s="144"/>
      <c r="F23" s="144"/>
      <c r="G23" s="144"/>
      <c r="H23" s="145"/>
    </row>
    <row r="24" spans="2:11">
      <c r="B24" s="39" t="str">
        <f>'Financial Model'!M123&amp;"F Ending Return on Tangible Equity"</f>
        <v>2030F Ending Return on Tangible Equity</v>
      </c>
      <c r="C24" s="36"/>
      <c r="D24" s="36"/>
      <c r="E24" s="36"/>
      <c r="F24" s="36"/>
      <c r="G24" s="36"/>
      <c r="H24" s="469">
        <f>'Financial Model'!M143</f>
        <v>0.13542542560157494</v>
      </c>
    </row>
    <row r="25" spans="2:11">
      <c r="B25" s="127" t="s">
        <v>195</v>
      </c>
      <c r="C25" s="36"/>
      <c r="D25" s="36"/>
      <c r="E25" s="36"/>
      <c r="F25" s="36"/>
      <c r="G25" s="36"/>
      <c r="H25" s="134">
        <f>H11</f>
        <v>9.0999999999999998E-2</v>
      </c>
    </row>
    <row r="26" spans="2:11">
      <c r="B26" s="39" t="s">
        <v>201</v>
      </c>
      <c r="C26" s="36"/>
      <c r="D26" s="36"/>
      <c r="E26" s="36"/>
      <c r="F26" s="36"/>
      <c r="G26" s="36"/>
      <c r="H26" s="134">
        <f>H20</f>
        <v>2.9260217846630479E-2</v>
      </c>
    </row>
    <row r="27" spans="2:11">
      <c r="B27" s="39" t="s">
        <v>363</v>
      </c>
      <c r="C27" s="36"/>
      <c r="D27" s="36"/>
      <c r="E27" s="36"/>
      <c r="F27" s="36"/>
      <c r="G27" s="36"/>
      <c r="H27" s="138">
        <f>(H24-H26)/(H25-H26)-0.3</f>
        <v>1.4195591570313044</v>
      </c>
    </row>
    <row r="28" spans="2:11">
      <c r="B28" s="41"/>
      <c r="C28" s="41"/>
      <c r="D28" s="41"/>
      <c r="E28" s="41"/>
      <c r="F28" s="41"/>
      <c r="G28" s="41"/>
      <c r="H28" s="81"/>
    </row>
    <row r="29" spans="2:11">
      <c r="B29" s="27" t="s">
        <v>203</v>
      </c>
      <c r="C29" s="41"/>
      <c r="D29" s="41"/>
      <c r="E29" s="41"/>
      <c r="F29" s="41"/>
      <c r="G29" s="41"/>
      <c r="H29" s="81"/>
    </row>
    <row r="30" spans="2:11">
      <c r="B30" s="139"/>
      <c r="C30" s="140"/>
      <c r="D30" s="140"/>
      <c r="E30" s="140"/>
      <c r="F30" s="140"/>
      <c r="G30" s="140"/>
      <c r="H30" s="141"/>
    </row>
    <row r="31" spans="2:11">
      <c r="B31" s="128" t="s">
        <v>366</v>
      </c>
      <c r="C31" s="128"/>
      <c r="D31" s="128"/>
      <c r="E31" s="129" t="s">
        <v>205</v>
      </c>
      <c r="F31" s="129"/>
      <c r="G31" s="129"/>
      <c r="H31" s="150">
        <v>58799</v>
      </c>
    </row>
    <row r="32" spans="2:11">
      <c r="B32" s="130" t="s">
        <v>206</v>
      </c>
      <c r="C32" s="130"/>
      <c r="D32" s="130"/>
      <c r="E32" s="131" t="s">
        <v>207</v>
      </c>
      <c r="F32" s="131"/>
      <c r="G32" s="131"/>
      <c r="H32" s="151">
        <v>0.97399999999999998</v>
      </c>
    </row>
    <row r="33" spans="8:8">
      <c r="H33" s="13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7D7A0D-9B5F-45E9-8364-27FB10D9C62A}">
  <dimension ref="B2:R150"/>
  <sheetViews>
    <sheetView showGridLines="0" topLeftCell="A79" zoomScaleNormal="100" workbookViewId="0">
      <selection activeCell="J36" sqref="J36"/>
    </sheetView>
  </sheetViews>
  <sheetFormatPr defaultRowHeight="15"/>
  <cols>
    <col min="1" max="1" width="9.140625" style="125"/>
    <col min="2" max="2" width="9.85546875" style="125" customWidth="1"/>
    <col min="3" max="7" width="9.140625" style="125"/>
    <col min="8" max="8" width="9.140625" style="125" bestFit="1" customWidth="1"/>
    <col min="9" max="13" width="9.140625" style="125"/>
    <col min="14" max="14" width="10.42578125" style="125" bestFit="1" customWidth="1"/>
    <col min="15" max="16384" width="9.140625" style="125"/>
  </cols>
  <sheetData>
    <row r="2" spans="2:14" ht="16.5" customHeight="1">
      <c r="B2" s="31" t="s">
        <v>241</v>
      </c>
      <c r="C2" s="32"/>
      <c r="D2" s="32"/>
      <c r="E2" s="32"/>
      <c r="F2" s="32"/>
      <c r="G2" s="33"/>
      <c r="H2" s="33"/>
      <c r="I2" s="34"/>
      <c r="J2" s="34"/>
      <c r="K2" s="34"/>
      <c r="L2" s="34"/>
      <c r="M2" s="34"/>
      <c r="N2" s="34"/>
    </row>
    <row r="4" spans="2:14">
      <c r="B4" s="35" t="s">
        <v>10</v>
      </c>
      <c r="C4" s="36"/>
      <c r="D4" s="36"/>
      <c r="E4" s="36"/>
      <c r="F4" s="230">
        <f>'Financial Model'!F5</f>
        <v>2023</v>
      </c>
      <c r="G4" s="230">
        <f>'Financial Model'!G5</f>
        <v>2024</v>
      </c>
      <c r="H4" s="230">
        <f>'Financial Model'!H5</f>
        <v>2025</v>
      </c>
      <c r="I4" s="231">
        <f>'Financial Model'!I5</f>
        <v>2026</v>
      </c>
      <c r="J4" s="231">
        <f>'Financial Model'!J5</f>
        <v>2027</v>
      </c>
      <c r="K4" s="231">
        <f>'Financial Model'!K5</f>
        <v>2028</v>
      </c>
      <c r="L4" s="231">
        <f>'Financial Model'!L5</f>
        <v>2029</v>
      </c>
      <c r="M4" s="231">
        <f>'Financial Model'!M5</f>
        <v>2030</v>
      </c>
      <c r="N4" s="176" t="s">
        <v>230</v>
      </c>
    </row>
    <row r="6" spans="2:14">
      <c r="B6" s="39" t="s">
        <v>195</v>
      </c>
      <c r="C6" s="41"/>
      <c r="D6" s="179">
        <f>'Inputs &amp; Assumptions'!H11</f>
        <v>9.0999999999999998E-2</v>
      </c>
      <c r="E6" s="41"/>
      <c r="F6" s="180"/>
      <c r="G6" s="180"/>
      <c r="H6" s="180"/>
      <c r="I6" s="180"/>
      <c r="J6" s="180"/>
      <c r="K6" s="180"/>
      <c r="L6" s="180"/>
      <c r="M6" s="180"/>
      <c r="N6" s="41"/>
    </row>
    <row r="7" spans="2:14">
      <c r="B7" s="181" t="s">
        <v>255</v>
      </c>
      <c r="C7" s="180"/>
      <c r="D7" s="179">
        <f>'Inputs &amp; Assumptions'!H20</f>
        <v>2.9260217846630479E-2</v>
      </c>
      <c r="E7" s="180"/>
      <c r="F7" s="180"/>
      <c r="G7" s="180"/>
      <c r="H7" s="180"/>
      <c r="I7" s="180"/>
      <c r="J7" s="180"/>
      <c r="K7" s="180"/>
      <c r="L7" s="180"/>
      <c r="M7" s="180"/>
      <c r="N7" s="41"/>
    </row>
    <row r="8" spans="2:14">
      <c r="B8" s="180"/>
      <c r="C8" s="180"/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41"/>
    </row>
    <row r="9" spans="2:14">
      <c r="B9" s="39" t="s">
        <v>103</v>
      </c>
      <c r="C9" s="41"/>
      <c r="D9" s="41"/>
      <c r="E9" s="41"/>
      <c r="F9" s="182">
        <f>'Financial Model'!F75</f>
        <v>5518</v>
      </c>
      <c r="G9" s="182">
        <f>'Financial Model'!G75</f>
        <v>4477</v>
      </c>
      <c r="H9" s="182">
        <f>'Financial Model'!H75</f>
        <v>4757</v>
      </c>
      <c r="I9" s="182">
        <f>'Financial Model'!I75</f>
        <v>5315.6399596719966</v>
      </c>
      <c r="J9" s="182">
        <f>'Financial Model'!J75</f>
        <v>5070.549656762696</v>
      </c>
      <c r="K9" s="182">
        <f>'Financial Model'!K75</f>
        <v>5533.0978299444314</v>
      </c>
      <c r="L9" s="182">
        <f>'Financial Model'!L75</f>
        <v>5795.9377583169016</v>
      </c>
      <c r="M9" s="182">
        <f>'Financial Model'!M75</f>
        <v>6470.7531615147091</v>
      </c>
      <c r="N9" s="41"/>
    </row>
    <row r="10" spans="2:14">
      <c r="B10" s="183" t="s">
        <v>231</v>
      </c>
      <c r="C10" s="171"/>
      <c r="D10" s="171"/>
      <c r="E10" s="171"/>
      <c r="F10" s="175" t="str">
        <f>IFERROR(F9/#REF!-1,"NA")</f>
        <v>NA</v>
      </c>
      <c r="G10" s="175">
        <f t="shared" ref="G10:M10" si="0">IFERROR(G9/F9-1,"NA")</f>
        <v>-0.18865530989488943</v>
      </c>
      <c r="H10" s="175">
        <f t="shared" si="0"/>
        <v>6.2541880723698817E-2</v>
      </c>
      <c r="I10" s="175">
        <f t="shared" si="0"/>
        <v>0.11743534994155902</v>
      </c>
      <c r="J10" s="175">
        <f t="shared" si="0"/>
        <v>-4.6107393421811804E-2</v>
      </c>
      <c r="K10" s="175">
        <f t="shared" si="0"/>
        <v>9.1222491542869655E-2</v>
      </c>
      <c r="L10" s="175">
        <f t="shared" si="0"/>
        <v>4.7503213651855836E-2</v>
      </c>
      <c r="M10" s="175">
        <f t="shared" si="0"/>
        <v>0.11642902862948779</v>
      </c>
      <c r="N10" s="41"/>
    </row>
    <row r="11" spans="2:14">
      <c r="B11" s="39" t="s">
        <v>212</v>
      </c>
      <c r="C11" s="41"/>
      <c r="D11" s="41"/>
      <c r="E11" s="41"/>
      <c r="F11" s="182">
        <f>'Financial Model'!F77</f>
        <v>1651</v>
      </c>
      <c r="G11" s="182">
        <f>'Financial Model'!G77</f>
        <v>1828</v>
      </c>
      <c r="H11" s="182">
        <f>'Financial Model'!H77</f>
        <v>2000</v>
      </c>
      <c r="I11" s="182">
        <f>'Financial Model'!I77</f>
        <v>2126.2559838687989</v>
      </c>
      <c r="J11" s="182">
        <f>'Financial Model'!J77</f>
        <v>2129.6308558403321</v>
      </c>
      <c r="K11" s="182">
        <f>'Financial Model'!K77</f>
        <v>2489.8940234749944</v>
      </c>
      <c r="L11" s="182">
        <f>'Financial Model'!L77</f>
        <v>2608.1719912426056</v>
      </c>
      <c r="M11" s="182">
        <f>'Financial Model'!M77</f>
        <v>2911.8389226816194</v>
      </c>
      <c r="N11" s="215">
        <f>M11*(1+D7)</f>
        <v>2997.0399638935814</v>
      </c>
    </row>
    <row r="12" spans="2:14">
      <c r="B12" s="183" t="s">
        <v>232</v>
      </c>
      <c r="C12" s="171"/>
      <c r="D12" s="171"/>
      <c r="E12" s="171"/>
      <c r="F12" s="184">
        <f>F11/F9</f>
        <v>0.29920260964117434</v>
      </c>
      <c r="G12" s="184">
        <f t="shared" ref="G12:M12" si="1">G11/G9</f>
        <v>0.40830913558186288</v>
      </c>
      <c r="H12" s="184">
        <f t="shared" si="1"/>
        <v>0.42043304603741855</v>
      </c>
      <c r="I12" s="184">
        <f t="shared" si="1"/>
        <v>0.40000000000000008</v>
      </c>
      <c r="J12" s="184">
        <f t="shared" si="1"/>
        <v>0.41999999999999993</v>
      </c>
      <c r="K12" s="184">
        <f t="shared" si="1"/>
        <v>0.45000000000000007</v>
      </c>
      <c r="L12" s="184">
        <f t="shared" si="1"/>
        <v>0.44999999999999996</v>
      </c>
      <c r="M12" s="184">
        <f t="shared" si="1"/>
        <v>0.45000000000000007</v>
      </c>
      <c r="N12" s="41"/>
    </row>
    <row r="13" spans="2:14"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</row>
    <row r="14" spans="2:14">
      <c r="B14" s="39" t="s">
        <v>65</v>
      </c>
      <c r="C14" s="41"/>
      <c r="D14" s="41"/>
      <c r="E14" s="41"/>
      <c r="F14" s="41"/>
      <c r="G14" s="41"/>
      <c r="H14" s="41"/>
      <c r="I14" s="170">
        <f>I11</f>
        <v>2126.2559838687989</v>
      </c>
      <c r="J14" s="170">
        <f t="shared" ref="J14:M14" si="2">J11</f>
        <v>2129.6308558403321</v>
      </c>
      <c r="K14" s="170">
        <f t="shared" si="2"/>
        <v>2489.8940234749944</v>
      </c>
      <c r="L14" s="170">
        <f t="shared" si="2"/>
        <v>2608.1719912426056</v>
      </c>
      <c r="M14" s="170">
        <f t="shared" si="2"/>
        <v>2911.8389226816194</v>
      </c>
      <c r="N14" s="41"/>
    </row>
    <row r="15" spans="2:14">
      <c r="B15" s="39" t="s">
        <v>233</v>
      </c>
      <c r="C15" s="41"/>
      <c r="D15" s="41"/>
      <c r="E15" s="41"/>
      <c r="F15" s="41"/>
      <c r="G15" s="41"/>
      <c r="H15" s="41"/>
      <c r="I15" s="81"/>
      <c r="J15" s="81"/>
      <c r="K15" s="81"/>
      <c r="L15" s="81"/>
      <c r="M15" s="170">
        <f>N11/(D6-D7)</f>
        <v>48543.092627838414</v>
      </c>
      <c r="N15" s="41"/>
    </row>
    <row r="16" spans="2:14">
      <c r="B16" s="39" t="s">
        <v>234</v>
      </c>
      <c r="C16" s="41"/>
      <c r="D16" s="41"/>
      <c r="E16" s="41"/>
      <c r="F16" s="41"/>
      <c r="G16" s="41"/>
      <c r="H16" s="41"/>
      <c r="I16" s="169">
        <f>SUM(I14:I15)</f>
        <v>2126.2559838687989</v>
      </c>
      <c r="J16" s="169">
        <f t="shared" ref="J16:M16" si="3">SUM(J14:J15)</f>
        <v>2129.6308558403321</v>
      </c>
      <c r="K16" s="169">
        <f t="shared" si="3"/>
        <v>2489.8940234749944</v>
      </c>
      <c r="L16" s="169">
        <f t="shared" si="3"/>
        <v>2608.1719912426056</v>
      </c>
      <c r="M16" s="169">
        <f t="shared" si="3"/>
        <v>51454.931550520036</v>
      </c>
      <c r="N16" s="41"/>
    </row>
    <row r="17" spans="2:14">
      <c r="B17" s="39"/>
      <c r="C17" s="41"/>
      <c r="D17" s="41"/>
      <c r="E17" s="41"/>
      <c r="F17" s="41"/>
      <c r="G17" s="41"/>
      <c r="H17" s="41"/>
      <c r="I17" s="81"/>
      <c r="J17" s="81"/>
      <c r="K17" s="81"/>
      <c r="L17" s="81"/>
      <c r="M17" s="81"/>
      <c r="N17" s="41"/>
    </row>
    <row r="18" spans="2:14">
      <c r="B18" s="39" t="s">
        <v>235</v>
      </c>
      <c r="C18" s="41"/>
      <c r="D18" s="41"/>
      <c r="E18" s="41"/>
      <c r="F18" s="41"/>
      <c r="G18" s="41"/>
      <c r="H18" s="41"/>
      <c r="I18" s="216">
        <v>1</v>
      </c>
      <c r="J18" s="216">
        <f>I18+1</f>
        <v>2</v>
      </c>
      <c r="K18" s="216">
        <f t="shared" ref="K18:M18" si="4">J18+1</f>
        <v>3</v>
      </c>
      <c r="L18" s="216">
        <f t="shared" si="4"/>
        <v>4</v>
      </c>
      <c r="M18" s="216">
        <f t="shared" si="4"/>
        <v>5</v>
      </c>
      <c r="N18" s="41"/>
    </row>
    <row r="19" spans="2:14">
      <c r="B19" s="39" t="s">
        <v>236</v>
      </c>
      <c r="C19" s="41"/>
      <c r="D19" s="41"/>
      <c r="E19" s="41"/>
      <c r="F19" s="41"/>
      <c r="G19" s="41"/>
      <c r="H19" s="41"/>
      <c r="I19" s="169">
        <f>I14/(1+$D$6)^I18</f>
        <v>1948.9055764150312</v>
      </c>
      <c r="J19" s="169">
        <f t="shared" ref="J19:L19" si="5">J14/(1+$D$6)^J18</f>
        <v>1789.183273395385</v>
      </c>
      <c r="K19" s="169">
        <f t="shared" si="5"/>
        <v>1917.3730156684626</v>
      </c>
      <c r="L19" s="169">
        <f t="shared" si="5"/>
        <v>1840.9297852264567</v>
      </c>
      <c r="M19" s="169">
        <f>M16/(1+$D$6)^M18</f>
        <v>33289.191834041747</v>
      </c>
      <c r="N19" s="41"/>
    </row>
    <row r="20" spans="2:14"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2:14">
      <c r="B21" s="39" t="s">
        <v>204</v>
      </c>
      <c r="C21" s="41"/>
      <c r="D21" s="41"/>
      <c r="E21" s="41"/>
      <c r="F21" s="41"/>
      <c r="G21" s="41"/>
      <c r="H21" s="41"/>
      <c r="I21" s="465">
        <f>'Financial Model'!I266</f>
        <v>57054.63896907217</v>
      </c>
      <c r="J21" s="465">
        <f>'Financial Model'!J266</f>
        <v>55528.21711726897</v>
      </c>
      <c r="K21" s="465">
        <f>'Financial Model'!K266</f>
        <v>53668.923065391726</v>
      </c>
      <c r="L21" s="465">
        <f>'Financial Model'!L266</f>
        <v>50813.850328897301</v>
      </c>
      <c r="M21" s="465">
        <f>'Financial Model'!M266</f>
        <v>47728.784203266332</v>
      </c>
      <c r="N21" s="41"/>
    </row>
    <row r="22" spans="2:14">
      <c r="B22" s="39" t="s">
        <v>359</v>
      </c>
      <c r="C22" s="41"/>
      <c r="D22" s="41"/>
      <c r="E22" s="41"/>
      <c r="F22" s="41"/>
      <c r="G22" s="41"/>
      <c r="H22" s="41"/>
      <c r="I22" s="450">
        <f>I19/I21</f>
        <v>3.4158582222761621E-2</v>
      </c>
      <c r="J22" s="450">
        <f t="shared" ref="J22:M22" si="6">J19/J21</f>
        <v>3.2221154689999199E-2</v>
      </c>
      <c r="K22" s="450">
        <f t="shared" si="6"/>
        <v>3.5725945410387337E-2</v>
      </c>
      <c r="L22" s="450">
        <f t="shared" si="6"/>
        <v>3.6228897698380856E-2</v>
      </c>
      <c r="M22" s="450">
        <f t="shared" si="6"/>
        <v>0.69746574084666491</v>
      </c>
      <c r="N22" s="41"/>
    </row>
    <row r="23" spans="2:14"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</row>
    <row r="24" spans="2:14">
      <c r="B24" s="41"/>
      <c r="C24" s="41"/>
      <c r="D24" s="41"/>
      <c r="E24" s="452" t="s">
        <v>278</v>
      </c>
      <c r="F24" s="140"/>
      <c r="G24" s="140"/>
      <c r="H24" s="453"/>
      <c r="I24" s="41"/>
      <c r="J24" s="41"/>
      <c r="K24" s="41"/>
      <c r="L24" s="41"/>
      <c r="M24" s="41"/>
      <c r="N24" s="41"/>
    </row>
    <row r="25" spans="2:14">
      <c r="B25" s="41"/>
      <c r="C25" s="41"/>
      <c r="D25" s="41"/>
      <c r="E25" s="217" t="s">
        <v>238</v>
      </c>
      <c r="F25" s="41"/>
      <c r="G25" s="41"/>
      <c r="H25" s="457">
        <f>SUM(I22:M22)</f>
        <v>0.83580032086819389</v>
      </c>
      <c r="I25" s="58"/>
      <c r="J25" s="58"/>
      <c r="K25" s="58"/>
      <c r="L25" s="58"/>
      <c r="M25" s="58"/>
      <c r="N25" s="58"/>
    </row>
    <row r="26" spans="2:14">
      <c r="B26" s="41"/>
      <c r="C26" s="41"/>
      <c r="D26" s="41"/>
      <c r="E26" s="218" t="s">
        <v>239</v>
      </c>
      <c r="F26" s="219"/>
      <c r="G26" s="219"/>
      <c r="H26" s="454">
        <f>'Inputs &amp; Assumptions'!H32</f>
        <v>0.97399999999999998</v>
      </c>
      <c r="I26" s="41"/>
      <c r="J26" s="41"/>
      <c r="K26" s="41"/>
      <c r="L26" s="41"/>
      <c r="M26" s="41"/>
      <c r="N26" s="41"/>
    </row>
    <row r="27" spans="2:14">
      <c r="B27" s="41"/>
      <c r="C27" s="41"/>
      <c r="D27" s="41"/>
      <c r="I27" s="41"/>
      <c r="J27" s="41"/>
      <c r="K27" s="41"/>
      <c r="L27" s="41"/>
      <c r="M27" s="41"/>
      <c r="N27" s="41"/>
    </row>
    <row r="28" spans="2:14" ht="18.75">
      <c r="B28" s="31" t="s">
        <v>243</v>
      </c>
      <c r="C28" s="32"/>
      <c r="D28" s="32"/>
      <c r="E28" s="32"/>
      <c r="F28" s="32"/>
      <c r="G28" s="33"/>
      <c r="H28" s="33"/>
      <c r="I28" s="34"/>
      <c r="J28" s="34"/>
      <c r="K28" s="34"/>
      <c r="L28" s="34"/>
      <c r="M28" s="34"/>
      <c r="N28" s="34"/>
    </row>
    <row r="30" spans="2:14">
      <c r="B30" s="35" t="s">
        <v>10</v>
      </c>
      <c r="C30" s="36"/>
      <c r="D30" s="36"/>
      <c r="E30" s="36"/>
      <c r="F30" s="37">
        <f>F$4</f>
        <v>2023</v>
      </c>
      <c r="G30" s="37">
        <f t="shared" ref="G30:M30" si="7">G$4</f>
        <v>2024</v>
      </c>
      <c r="H30" s="37">
        <f t="shared" si="7"/>
        <v>2025</v>
      </c>
      <c r="I30" s="38">
        <f t="shared" si="7"/>
        <v>2026</v>
      </c>
      <c r="J30" s="38">
        <f t="shared" si="7"/>
        <v>2027</v>
      </c>
      <c r="K30" s="38">
        <f t="shared" si="7"/>
        <v>2028</v>
      </c>
      <c r="L30" s="38">
        <f t="shared" si="7"/>
        <v>2029</v>
      </c>
      <c r="M30" s="38">
        <f t="shared" si="7"/>
        <v>2030</v>
      </c>
      <c r="N30" s="176" t="s">
        <v>230</v>
      </c>
    </row>
    <row r="32" spans="2:14">
      <c r="B32" s="39" t="s">
        <v>103</v>
      </c>
      <c r="C32" s="41"/>
      <c r="D32" s="41"/>
      <c r="E32" s="41"/>
      <c r="F32" s="182">
        <f>'Financial Model'!F75</f>
        <v>5518</v>
      </c>
      <c r="G32" s="182">
        <f>'Financial Model'!G75</f>
        <v>4477</v>
      </c>
      <c r="H32" s="182">
        <f>'Financial Model'!H75</f>
        <v>4757</v>
      </c>
      <c r="I32" s="182">
        <f>'Financial Model'!I75</f>
        <v>5315.6399596719966</v>
      </c>
      <c r="J32" s="182">
        <f>'Financial Model'!J75</f>
        <v>5070.549656762696</v>
      </c>
      <c r="K32" s="182">
        <f>'Financial Model'!K75</f>
        <v>5533.0978299444314</v>
      </c>
      <c r="L32" s="182">
        <f>'Financial Model'!L75</f>
        <v>5795.9377583169016</v>
      </c>
      <c r="M32" s="182">
        <f>'Financial Model'!M75</f>
        <v>6470.7531615147091</v>
      </c>
      <c r="N32" s="167">
        <f>M32*(1+N33)</f>
        <v>6660.0888086524028</v>
      </c>
    </row>
    <row r="33" spans="2:18">
      <c r="B33" s="183" t="s">
        <v>211</v>
      </c>
      <c r="C33" s="41"/>
      <c r="D33" s="41"/>
      <c r="E33" s="41"/>
      <c r="F33" s="175" t="str">
        <f>IFERROR(F32/#REF!-1,"NA")</f>
        <v>NA</v>
      </c>
      <c r="G33" s="175">
        <f t="shared" ref="F33:M35" si="8">IFERROR(G32/F32-1,"NA")</f>
        <v>-0.18865530989488943</v>
      </c>
      <c r="H33" s="175">
        <f t="shared" si="8"/>
        <v>6.2541880723698817E-2</v>
      </c>
      <c r="I33" s="175">
        <f t="shared" si="8"/>
        <v>0.11743534994155902</v>
      </c>
      <c r="J33" s="175">
        <f t="shared" si="8"/>
        <v>-4.6107393421811804E-2</v>
      </c>
      <c r="K33" s="175">
        <f t="shared" si="8"/>
        <v>9.1222491542869655E-2</v>
      </c>
      <c r="L33" s="175">
        <f t="shared" si="8"/>
        <v>4.7503213651855836E-2</v>
      </c>
      <c r="M33" s="175">
        <f t="shared" si="8"/>
        <v>0.11642902862948779</v>
      </c>
      <c r="N33" s="188">
        <f>'Inputs &amp; Assumptions'!H20</f>
        <v>2.9260217846630479E-2</v>
      </c>
    </row>
    <row r="34" spans="2:18" ht="16.5" customHeight="1">
      <c r="B34" s="39" t="s">
        <v>212</v>
      </c>
      <c r="C34" s="41"/>
      <c r="D34" s="41"/>
      <c r="E34" s="41"/>
      <c r="F34" s="182">
        <f>'Financial Model'!F77</f>
        <v>1651</v>
      </c>
      <c r="G34" s="182">
        <f>'Financial Model'!G77</f>
        <v>1828</v>
      </c>
      <c r="H34" s="182">
        <f>'Financial Model'!H77</f>
        <v>2000</v>
      </c>
      <c r="I34" s="191">
        <f>'Financial Model'!I77</f>
        <v>2126.2559838687989</v>
      </c>
      <c r="J34" s="191">
        <f>'Financial Model'!J77</f>
        <v>2129.6308558403321</v>
      </c>
      <c r="K34" s="191">
        <f>'Financial Model'!K77</f>
        <v>2489.8940234749944</v>
      </c>
      <c r="L34" s="191">
        <f>'Financial Model'!L77</f>
        <v>2608.1719912426056</v>
      </c>
      <c r="M34" s="191">
        <f>'Financial Model'!M77</f>
        <v>2911.8389226816194</v>
      </c>
      <c r="N34" s="170">
        <f>M34*(1+N35)</f>
        <v>2997.0399638935814</v>
      </c>
      <c r="R34" s="441"/>
    </row>
    <row r="35" spans="2:18">
      <c r="B35" s="183" t="s">
        <v>213</v>
      </c>
      <c r="C35" s="41"/>
      <c r="D35" s="41"/>
      <c r="E35" s="41"/>
      <c r="F35" s="175" t="str">
        <f t="shared" si="8"/>
        <v>NA</v>
      </c>
      <c r="G35" s="175">
        <f t="shared" si="8"/>
        <v>0.10720775287704432</v>
      </c>
      <c r="H35" s="175">
        <f t="shared" si="8"/>
        <v>9.4091903719912384E-2</v>
      </c>
      <c r="I35" s="175">
        <f t="shared" si="8"/>
        <v>6.3127991934399441E-2</v>
      </c>
      <c r="J35" s="175">
        <f t="shared" si="8"/>
        <v>1.587236907097278E-3</v>
      </c>
      <c r="K35" s="175">
        <f t="shared" si="8"/>
        <v>0.16916695522450342</v>
      </c>
      <c r="L35" s="175">
        <f t="shared" si="8"/>
        <v>4.7503213651855614E-2</v>
      </c>
      <c r="M35" s="175">
        <f t="shared" si="8"/>
        <v>0.11642902862948779</v>
      </c>
      <c r="N35" s="188">
        <f>'Inputs &amp; Assumptions'!H20</f>
        <v>2.9260217846630479E-2</v>
      </c>
    </row>
    <row r="36" spans="2:18">
      <c r="B36" s="39" t="s">
        <v>242</v>
      </c>
      <c r="C36" s="41"/>
      <c r="D36" s="41"/>
      <c r="E36" s="189"/>
      <c r="F36" s="184">
        <f>F34/F32</f>
        <v>0.29920260964117434</v>
      </c>
      <c r="G36" s="184">
        <f t="shared" ref="G36:H36" si="9">G34/G32</f>
        <v>0.40830913558186288</v>
      </c>
      <c r="H36" s="184">
        <f t="shared" si="9"/>
        <v>0.42043304603741855</v>
      </c>
      <c r="I36" s="71">
        <v>0.45</v>
      </c>
      <c r="J36" s="71">
        <v>0.45</v>
      </c>
      <c r="K36" s="71">
        <v>0.45</v>
      </c>
      <c r="L36" s="71">
        <v>0.45</v>
      </c>
      <c r="M36" s="71">
        <v>0.45</v>
      </c>
      <c r="N36" s="71">
        <v>0.45</v>
      </c>
    </row>
    <row r="37" spans="2:18">
      <c r="B37" s="183" t="s">
        <v>214</v>
      </c>
      <c r="C37" s="41"/>
      <c r="D37" s="41"/>
      <c r="E37" s="41"/>
      <c r="F37" s="58"/>
      <c r="G37" s="58"/>
      <c r="H37" s="58"/>
      <c r="I37" s="196">
        <f>I34/I32</f>
        <v>0.40000000000000008</v>
      </c>
      <c r="J37" s="196">
        <f t="shared" ref="J37:N37" si="10">J34/J32</f>
        <v>0.41999999999999993</v>
      </c>
      <c r="K37" s="196">
        <f t="shared" si="10"/>
        <v>0.45000000000000007</v>
      </c>
      <c r="L37" s="196">
        <f t="shared" si="10"/>
        <v>0.44999999999999996</v>
      </c>
      <c r="M37" s="196">
        <f t="shared" si="10"/>
        <v>0.45000000000000007</v>
      </c>
      <c r="N37" s="197">
        <f t="shared" si="10"/>
        <v>0.45</v>
      </c>
    </row>
    <row r="38" spans="2:18">
      <c r="B38" s="28"/>
      <c r="C38" s="41"/>
      <c r="D38" s="41"/>
      <c r="E38" s="41"/>
      <c r="F38" s="58"/>
      <c r="G38" s="58"/>
      <c r="H38" s="58"/>
      <c r="I38" s="58"/>
      <c r="J38" s="58"/>
      <c r="K38" s="58"/>
      <c r="L38" s="58"/>
      <c r="M38" s="58"/>
      <c r="N38" s="58"/>
    </row>
    <row r="39" spans="2:18">
      <c r="B39" s="28" t="s">
        <v>110</v>
      </c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58"/>
    </row>
    <row r="40" spans="2:18">
      <c r="B40" s="39" t="s">
        <v>106</v>
      </c>
      <c r="C40" s="41"/>
      <c r="D40" s="41"/>
      <c r="E40" s="41"/>
      <c r="F40" s="182">
        <f>'Financial Model'!F36</f>
        <v>40234</v>
      </c>
      <c r="G40" s="182">
        <f>'Financial Model'!G36</f>
        <v>39521</v>
      </c>
      <c r="H40" s="182">
        <f>'Financial Model'!H36</f>
        <v>41721</v>
      </c>
      <c r="I40" s="182">
        <f>'Financial Model'!I36</f>
        <v>42388.353775803203</v>
      </c>
      <c r="J40" s="182">
        <f>'Financial Model'!J36</f>
        <v>43802.850724922369</v>
      </c>
      <c r="K40" s="182">
        <f>'Financial Model'!K36</f>
        <v>45430.98165795824</v>
      </c>
      <c r="L40" s="182">
        <f>'Financial Model'!L36</f>
        <v>46092.370324348449</v>
      </c>
      <c r="M40" s="182">
        <f>'Financial Model'!M36</f>
        <v>46788.562486243783</v>
      </c>
      <c r="N40" s="204">
        <v>46500</v>
      </c>
    </row>
    <row r="41" spans="2:18">
      <c r="B41" s="39" t="s">
        <v>117</v>
      </c>
      <c r="C41" s="41"/>
      <c r="D41" s="41"/>
      <c r="E41" s="41"/>
      <c r="F41" s="211">
        <f>-'Financial Model'!F16</f>
        <v>-8306</v>
      </c>
      <c r="G41" s="211">
        <f>-'Financial Model'!G16</f>
        <v>-8188</v>
      </c>
      <c r="H41" s="211">
        <f>-'Financial Model'!H16</f>
        <v>-8593</v>
      </c>
      <c r="I41" s="211">
        <f>-'Financial Model'!I16</f>
        <v>-8500</v>
      </c>
      <c r="J41" s="211">
        <f>-'Financial Model'!J16</f>
        <v>-8500</v>
      </c>
      <c r="K41" s="211">
        <f>-'Financial Model'!K16</f>
        <v>-8500</v>
      </c>
      <c r="L41" s="211">
        <f>-'Financial Model'!L16</f>
        <v>-9000</v>
      </c>
      <c r="M41" s="211">
        <f>-'Financial Model'!M16</f>
        <v>-9500</v>
      </c>
      <c r="N41" s="182">
        <f>-10000</f>
        <v>-10000</v>
      </c>
    </row>
    <row r="42" spans="2:18">
      <c r="B42" s="39" t="s">
        <v>111</v>
      </c>
      <c r="C42" s="41"/>
      <c r="D42" s="41"/>
      <c r="E42" s="41"/>
      <c r="F42" s="58">
        <f t="shared" ref="F42:M42" si="11">SUM(F40:F41)</f>
        <v>31928</v>
      </c>
      <c r="G42" s="58">
        <f t="shared" si="11"/>
        <v>31333</v>
      </c>
      <c r="H42" s="58">
        <f t="shared" si="11"/>
        <v>33128</v>
      </c>
      <c r="I42" s="58">
        <f t="shared" si="11"/>
        <v>33888.353775803203</v>
      </c>
      <c r="J42" s="58">
        <f t="shared" si="11"/>
        <v>35302.850724922369</v>
      </c>
      <c r="K42" s="58">
        <f t="shared" si="11"/>
        <v>36930.98165795824</v>
      </c>
      <c r="L42" s="58">
        <f t="shared" si="11"/>
        <v>37092.370324348449</v>
      </c>
      <c r="M42" s="58">
        <f t="shared" si="11"/>
        <v>37288.562486243783</v>
      </c>
      <c r="N42" s="120">
        <f>SUM(N39:N41)</f>
        <v>36500</v>
      </c>
    </row>
    <row r="43" spans="2:18">
      <c r="F43" s="58"/>
      <c r="G43" s="58"/>
      <c r="H43" s="58"/>
      <c r="I43" s="58"/>
      <c r="J43" s="58"/>
      <c r="K43" s="58"/>
      <c r="L43" s="58"/>
      <c r="M43" s="58"/>
      <c r="N43" s="58"/>
    </row>
    <row r="44" spans="2:18">
      <c r="B44" s="41" t="s">
        <v>99</v>
      </c>
      <c r="F44" s="58">
        <f>-'Financial Model'!F16</f>
        <v>-8306</v>
      </c>
      <c r="G44" s="58">
        <f>-'Financial Model'!G16</f>
        <v>-8188</v>
      </c>
      <c r="H44" s="58">
        <f>-'Financial Model'!H16</f>
        <v>-8593</v>
      </c>
      <c r="I44" s="58">
        <f>-'Financial Model'!I16</f>
        <v>-8500</v>
      </c>
      <c r="J44" s="58">
        <f>-'Financial Model'!J16</f>
        <v>-8500</v>
      </c>
      <c r="K44" s="58">
        <f>-'Financial Model'!K16</f>
        <v>-8500</v>
      </c>
      <c r="L44" s="58">
        <f>-'Financial Model'!L16</f>
        <v>-9000</v>
      </c>
      <c r="M44" s="58">
        <f>-'Financial Model'!M16</f>
        <v>-9500</v>
      </c>
      <c r="N44" s="204">
        <v>-10000</v>
      </c>
    </row>
    <row r="45" spans="2:18">
      <c r="B45" s="41" t="s">
        <v>219</v>
      </c>
      <c r="F45" s="58">
        <f t="shared" ref="F45:N45" si="12">F42+F44</f>
        <v>23622</v>
      </c>
      <c r="G45" s="58">
        <f t="shared" si="12"/>
        <v>23145</v>
      </c>
      <c r="H45" s="58">
        <f t="shared" si="12"/>
        <v>24535</v>
      </c>
      <c r="I45" s="58">
        <f t="shared" si="12"/>
        <v>25388.353775803203</v>
      </c>
      <c r="J45" s="58">
        <f t="shared" si="12"/>
        <v>26802.850724922369</v>
      </c>
      <c r="K45" s="58">
        <f t="shared" si="12"/>
        <v>28430.98165795824</v>
      </c>
      <c r="L45" s="58">
        <f t="shared" si="12"/>
        <v>28092.370324348449</v>
      </c>
      <c r="M45" s="58">
        <f t="shared" si="12"/>
        <v>27788.562486243783</v>
      </c>
      <c r="N45" s="58">
        <f t="shared" si="12"/>
        <v>26500</v>
      </c>
    </row>
    <row r="46" spans="2:18">
      <c r="F46" s="192"/>
      <c r="G46" s="192"/>
      <c r="H46" s="192"/>
      <c r="I46" s="192"/>
      <c r="J46" s="192"/>
      <c r="K46" s="192"/>
      <c r="L46" s="192"/>
      <c r="M46" s="192"/>
      <c r="N46" s="192"/>
    </row>
    <row r="47" spans="2:18">
      <c r="B47" s="41"/>
      <c r="C47" s="41"/>
      <c r="D47" s="41"/>
      <c r="E47" s="41"/>
      <c r="F47" s="58"/>
      <c r="G47" s="58"/>
      <c r="H47" s="58"/>
      <c r="I47" s="58"/>
      <c r="J47" s="58"/>
      <c r="K47" s="58"/>
      <c r="L47" s="58"/>
      <c r="M47" s="58"/>
      <c r="N47" s="58"/>
    </row>
    <row r="48" spans="2:18">
      <c r="B48" s="39" t="s">
        <v>225</v>
      </c>
      <c r="C48" s="41"/>
      <c r="D48" s="41"/>
      <c r="E48" s="41"/>
      <c r="F48" s="207">
        <v>0.13</v>
      </c>
      <c r="G48" s="207">
        <v>0.13</v>
      </c>
      <c r="H48" s="207">
        <v>0.13</v>
      </c>
      <c r="I48" s="207">
        <v>0.13</v>
      </c>
      <c r="J48" s="207">
        <v>0.13</v>
      </c>
      <c r="K48" s="207">
        <v>0.13</v>
      </c>
      <c r="L48" s="207">
        <v>0.13</v>
      </c>
      <c r="M48" s="207">
        <v>0.13</v>
      </c>
      <c r="N48" s="207">
        <v>0.13</v>
      </c>
    </row>
    <row r="49" spans="2:14">
      <c r="B49" s="39" t="s">
        <v>226</v>
      </c>
      <c r="C49" s="41"/>
      <c r="D49" s="41"/>
      <c r="E49" s="41"/>
      <c r="F49" s="193" t="s">
        <v>221</v>
      </c>
      <c r="G49" s="193" t="s">
        <v>221</v>
      </c>
      <c r="H49" s="193" t="s">
        <v>221</v>
      </c>
      <c r="I49" s="190">
        <f>I52*I48</f>
        <v>31621.536258</v>
      </c>
      <c r="J49" s="190">
        <f t="shared" ref="J49:M49" si="13">J52*J48</f>
        <v>32420.328295913998</v>
      </c>
      <c r="K49" s="190">
        <f t="shared" si="13"/>
        <v>33261.129042800021</v>
      </c>
      <c r="L49" s="190">
        <f t="shared" si="13"/>
        <v>34130.594966088014</v>
      </c>
      <c r="M49" s="190">
        <f t="shared" si="13"/>
        <v>34949.202858624827</v>
      </c>
      <c r="N49" s="190">
        <f>N52*N48</f>
        <v>35971.824147834275</v>
      </c>
    </row>
    <row r="50" spans="2:14">
      <c r="B50" s="183" t="s">
        <v>227</v>
      </c>
      <c r="C50" s="171"/>
      <c r="D50" s="171"/>
      <c r="E50" s="171"/>
      <c r="F50" s="206">
        <f>'Financial Model'!F164</f>
        <v>0.14629611283564128</v>
      </c>
      <c r="G50" s="206">
        <f>'Financial Model'!G164</f>
        <v>0.14535111311504154</v>
      </c>
      <c r="H50" s="206">
        <f>'Financial Model'!H164</f>
        <v>0.1387320330326321</v>
      </c>
      <c r="I50" s="206">
        <f>'Financial Model'!I164</f>
        <v>0.13931916384169549</v>
      </c>
      <c r="J50" s="206">
        <f>'Financial Model'!J164</f>
        <v>0.14155842446599518</v>
      </c>
      <c r="K50" s="206">
        <f>'Financial Model'!K164</f>
        <v>0.14434349505564489</v>
      </c>
      <c r="L50" s="206">
        <f>'Financial Model'!L164</f>
        <v>0.14128110415175654</v>
      </c>
      <c r="M50" s="206">
        <f>'Financial Model'!M164</f>
        <v>0.1387016792005433</v>
      </c>
      <c r="N50" s="212">
        <f>N49/N52</f>
        <v>0.13</v>
      </c>
    </row>
    <row r="51" spans="2:14">
      <c r="B51" s="39"/>
      <c r="C51" s="41"/>
      <c r="D51" s="41"/>
      <c r="E51" s="41"/>
      <c r="F51" s="194"/>
      <c r="G51" s="194"/>
      <c r="H51" s="194"/>
      <c r="I51" s="194"/>
      <c r="J51" s="194"/>
      <c r="K51" s="194"/>
      <c r="L51" s="194"/>
      <c r="M51" s="194"/>
      <c r="N51" s="194"/>
    </row>
    <row r="52" spans="2:14">
      <c r="B52" s="39" t="s">
        <v>228</v>
      </c>
      <c r="C52" s="41"/>
      <c r="D52" s="41"/>
      <c r="E52" s="41"/>
      <c r="F52" s="208">
        <f>'Financial Model'!F162</f>
        <v>218030.4</v>
      </c>
      <c r="G52" s="208">
        <f>'Financial Model'!G162</f>
        <v>220012.07499999998</v>
      </c>
      <c r="H52" s="208">
        <f>'Financial Model'!H162</f>
        <v>237364.07</v>
      </c>
      <c r="I52" s="208">
        <f>'Financial Model'!I162</f>
        <v>243242.58659999998</v>
      </c>
      <c r="J52" s="208">
        <f>'Financial Model'!J162</f>
        <v>249387.14073779999</v>
      </c>
      <c r="K52" s="208">
        <f>'Financial Model'!K162</f>
        <v>255854.83879076937</v>
      </c>
      <c r="L52" s="208">
        <f>'Financial Model'!L162</f>
        <v>262543.03820067702</v>
      </c>
      <c r="M52" s="208">
        <f>'Financial Model'!M162</f>
        <v>268840.02198942174</v>
      </c>
      <c r="N52" s="190">
        <f>M52*(1+N53)</f>
        <v>276706.3395987252</v>
      </c>
    </row>
    <row r="53" spans="2:14">
      <c r="B53" s="39" t="s">
        <v>229</v>
      </c>
      <c r="C53" s="171"/>
      <c r="D53" s="171"/>
      <c r="E53" s="171"/>
      <c r="F53" s="195" t="str">
        <f>IFERROR(F52/E52-1,"NA")</f>
        <v>NA</v>
      </c>
      <c r="G53" s="205">
        <f>IFERROR(G52/F52-1,"NA")</f>
        <v>9.0889848388113759E-3</v>
      </c>
      <c r="H53" s="205">
        <f t="shared" ref="H53" si="14">IFERROR(H52/G52-1,"NA")</f>
        <v>7.8868375747104036E-2</v>
      </c>
      <c r="I53" s="205">
        <f>IFERROR(I52/H52-1,"NA")</f>
        <v>2.4765823235167739E-2</v>
      </c>
      <c r="J53" s="205">
        <f>IFERROR(J52/I52-1,"NA")</f>
        <v>2.5261012981679931E-2</v>
      </c>
      <c r="K53" s="205">
        <f>IFERROR(K52/J52-1,"NA")</f>
        <v>2.5934368684106923E-2</v>
      </c>
      <c r="L53" s="205">
        <f>IFERROR(L52/K52-1,"NA")</f>
        <v>2.6140601606432945E-2</v>
      </c>
      <c r="M53" s="205">
        <f>IFERROR(M52/L52-1,"NA")</f>
        <v>2.3984577278836738E-2</v>
      </c>
      <c r="N53" s="210">
        <f>'Inputs &amp; Assumptions'!H20</f>
        <v>2.9260217846630479E-2</v>
      </c>
    </row>
    <row r="56" spans="2:14" ht="18.75">
      <c r="B56" s="31" t="s">
        <v>245</v>
      </c>
      <c r="C56" s="32"/>
      <c r="D56" s="32"/>
      <c r="E56" s="32"/>
      <c r="F56" s="32"/>
      <c r="G56" s="33"/>
      <c r="H56" s="33"/>
      <c r="I56" s="34"/>
      <c r="J56" s="34"/>
      <c r="K56" s="34"/>
      <c r="L56" s="34"/>
      <c r="M56" s="34"/>
      <c r="N56" s="34"/>
    </row>
    <row r="58" spans="2:14" ht="15.75">
      <c r="B58" s="35" t="s">
        <v>10</v>
      </c>
      <c r="C58" s="36"/>
      <c r="D58" s="36"/>
      <c r="E58" s="36"/>
      <c r="F58" s="62"/>
      <c r="G58" s="62"/>
      <c r="H58" s="227" t="s">
        <v>203</v>
      </c>
      <c r="I58" s="443" t="s">
        <v>246</v>
      </c>
      <c r="J58" s="444"/>
      <c r="K58" s="444"/>
      <c r="L58" s="444"/>
      <c r="M58" s="445"/>
      <c r="N58" s="228" t="s">
        <v>247</v>
      </c>
    </row>
    <row r="59" spans="2:14" ht="15.75">
      <c r="F59" s="62"/>
      <c r="G59" s="62"/>
      <c r="H59" s="226" t="s">
        <v>248</v>
      </c>
      <c r="I59" s="221" t="s">
        <v>248</v>
      </c>
      <c r="J59" s="221" t="s">
        <v>248</v>
      </c>
      <c r="K59" s="221" t="s">
        <v>248</v>
      </c>
      <c r="L59" s="221" t="s">
        <v>248</v>
      </c>
      <c r="M59" s="222" t="s">
        <v>248</v>
      </c>
      <c r="N59" s="222" t="s">
        <v>248</v>
      </c>
    </row>
    <row r="60" spans="2:14" ht="15.75">
      <c r="B60" s="87" t="s">
        <v>195</v>
      </c>
      <c r="C60" s="62"/>
      <c r="D60" s="209">
        <f>D6</f>
        <v>9.0999999999999998E-2</v>
      </c>
      <c r="F60" s="220" t="s">
        <v>249</v>
      </c>
      <c r="G60" s="62"/>
      <c r="H60" s="239">
        <f>DATE(2026,4,3)</f>
        <v>46115</v>
      </c>
      <c r="I60" s="237">
        <f>DATE(I4,12,31)</f>
        <v>46387</v>
      </c>
      <c r="J60" s="237">
        <f>DATE(J4,12,31)</f>
        <v>46752</v>
      </c>
      <c r="K60" s="237">
        <f>DATE(K4,12,31)</f>
        <v>47118</v>
      </c>
      <c r="L60" s="237">
        <f>DATE(L4,12,31)</f>
        <v>47483</v>
      </c>
      <c r="M60" s="238">
        <f>DATE(M4,12,31)</f>
        <v>47848</v>
      </c>
      <c r="N60" s="223">
        <f>DATE(M4+1,12,31)</f>
        <v>48213</v>
      </c>
    </row>
    <row r="61" spans="2:14" ht="16.5" customHeight="1">
      <c r="B61" s="214" t="s">
        <v>255</v>
      </c>
      <c r="C61" s="177"/>
      <c r="D61" s="213">
        <f>D7</f>
        <v>2.9260217846630479E-2</v>
      </c>
      <c r="F61" s="220" t="s">
        <v>250</v>
      </c>
      <c r="G61" s="62"/>
      <c r="H61" s="239">
        <f>DATE(2026,4,3)</f>
        <v>46115</v>
      </c>
      <c r="I61" s="224">
        <f t="shared" ref="I61:N61" si="15">EDATE(I60,-6)</f>
        <v>46203</v>
      </c>
      <c r="J61" s="224">
        <f t="shared" si="15"/>
        <v>46568</v>
      </c>
      <c r="K61" s="224">
        <f t="shared" si="15"/>
        <v>46934</v>
      </c>
      <c r="L61" s="224">
        <f t="shared" si="15"/>
        <v>47299</v>
      </c>
      <c r="M61" s="225">
        <f t="shared" si="15"/>
        <v>47664</v>
      </c>
      <c r="N61" s="225">
        <f t="shared" si="15"/>
        <v>48029</v>
      </c>
    </row>
    <row r="62" spans="2:14" ht="15.75">
      <c r="B62" s="41"/>
      <c r="C62" s="62"/>
      <c r="H62" s="245"/>
    </row>
    <row r="63" spans="2:14" ht="15.75">
      <c r="B63" s="87" t="s">
        <v>212</v>
      </c>
      <c r="C63" s="62"/>
      <c r="H63" s="240">
        <v>0</v>
      </c>
      <c r="I63" s="241">
        <f t="shared" ref="I63:N63" si="16">I11</f>
        <v>2126.2559838687989</v>
      </c>
      <c r="J63" s="241">
        <f t="shared" si="16"/>
        <v>2129.6308558403321</v>
      </c>
      <c r="K63" s="241">
        <f t="shared" si="16"/>
        <v>2489.8940234749944</v>
      </c>
      <c r="L63" s="241">
        <f t="shared" si="16"/>
        <v>2608.1719912426056</v>
      </c>
      <c r="M63" s="241">
        <f t="shared" si="16"/>
        <v>2911.8389226816194</v>
      </c>
      <c r="N63" s="242">
        <f t="shared" si="16"/>
        <v>2997.0399638935814</v>
      </c>
    </row>
    <row r="64" spans="2:14">
      <c r="H64" s="192"/>
      <c r="I64" s="192"/>
      <c r="J64" s="192"/>
      <c r="K64" s="192"/>
      <c r="L64" s="192"/>
      <c r="M64" s="192"/>
      <c r="N64" s="192"/>
    </row>
    <row r="65" spans="2:14">
      <c r="B65" s="185" t="s">
        <v>251</v>
      </c>
      <c r="C65" s="41"/>
      <c r="D65" s="41"/>
      <c r="E65" s="41"/>
      <c r="F65" s="41"/>
      <c r="G65" s="41"/>
      <c r="H65" s="58"/>
      <c r="I65" s="58"/>
      <c r="J65" s="58"/>
      <c r="K65" s="58"/>
      <c r="L65" s="58"/>
      <c r="M65" s="58"/>
      <c r="N65" s="58"/>
    </row>
    <row r="66" spans="2:14">
      <c r="B66" s="127" t="s">
        <v>246</v>
      </c>
      <c r="C66" s="41"/>
      <c r="D66" s="41"/>
      <c r="E66" s="41"/>
      <c r="F66" s="41"/>
      <c r="G66" s="41"/>
      <c r="H66" s="170">
        <f>H63</f>
        <v>0</v>
      </c>
      <c r="I66" s="170">
        <f>I63</f>
        <v>2126.2559838687989</v>
      </c>
      <c r="J66" s="170">
        <f t="shared" ref="J66:M66" si="17">J63</f>
        <v>2129.6308558403321</v>
      </c>
      <c r="K66" s="170">
        <f t="shared" si="17"/>
        <v>2489.8940234749944</v>
      </c>
      <c r="L66" s="170">
        <f t="shared" si="17"/>
        <v>2608.1719912426056</v>
      </c>
      <c r="M66" s="170">
        <f t="shared" si="17"/>
        <v>2911.8389226816194</v>
      </c>
      <c r="N66" s="58"/>
    </row>
    <row r="67" spans="2:14">
      <c r="B67" s="127" t="s">
        <v>233</v>
      </c>
      <c r="C67" s="41"/>
      <c r="D67" s="41"/>
      <c r="E67" s="41"/>
      <c r="F67" s="41"/>
      <c r="G67" s="41"/>
      <c r="H67" s="232">
        <v>0</v>
      </c>
      <c r="I67" s="232">
        <v>0</v>
      </c>
      <c r="J67" s="232">
        <v>0</v>
      </c>
      <c r="K67" s="232">
        <v>0</v>
      </c>
      <c r="L67" s="232">
        <v>0</v>
      </c>
      <c r="M67" s="170">
        <f>N63/(D60-D61)</f>
        <v>48543.092627838414</v>
      </c>
      <c r="N67" s="58"/>
    </row>
    <row r="68" spans="2:14">
      <c r="B68" s="127" t="s">
        <v>234</v>
      </c>
      <c r="C68" s="41"/>
      <c r="D68" s="41"/>
      <c r="E68" s="41"/>
      <c r="F68" s="41"/>
      <c r="G68" s="41"/>
      <c r="H68" s="169">
        <f>SUM(H66:H67)</f>
        <v>0</v>
      </c>
      <c r="I68" s="169">
        <f>SUM(I66:I67)</f>
        <v>2126.2559838687989</v>
      </c>
      <c r="J68" s="169">
        <f t="shared" ref="J68:M68" si="18">SUM(J66:J67)</f>
        <v>2129.6308558403321</v>
      </c>
      <c r="K68" s="169">
        <f t="shared" si="18"/>
        <v>2489.8940234749944</v>
      </c>
      <c r="L68" s="169">
        <f t="shared" si="18"/>
        <v>2608.1719912426056</v>
      </c>
      <c r="M68" s="169">
        <f t="shared" si="18"/>
        <v>51454.931550520036</v>
      </c>
      <c r="N68" s="58"/>
    </row>
    <row r="69" spans="2:14">
      <c r="B69" s="41"/>
      <c r="C69" s="41"/>
      <c r="D69" s="41"/>
      <c r="E69" s="41"/>
      <c r="F69" s="41"/>
      <c r="G69" s="41"/>
      <c r="H69" s="194"/>
      <c r="I69" s="194"/>
      <c r="J69" s="194"/>
      <c r="K69" s="194"/>
      <c r="L69" s="194"/>
      <c r="M69" s="194"/>
      <c r="N69" s="58"/>
    </row>
    <row r="70" spans="2:14">
      <c r="B70" s="185" t="s">
        <v>252</v>
      </c>
      <c r="C70" s="41"/>
      <c r="D70" s="41"/>
      <c r="E70" s="41"/>
      <c r="F70" s="41"/>
      <c r="G70" s="41"/>
      <c r="H70" s="194"/>
      <c r="I70" s="194"/>
      <c r="J70" s="194"/>
      <c r="K70" s="194"/>
      <c r="L70" s="194"/>
      <c r="M70" s="194"/>
      <c r="N70" s="58"/>
    </row>
    <row r="71" spans="2:14">
      <c r="B71" s="181" t="s">
        <v>253</v>
      </c>
      <c r="C71" s="41"/>
      <c r="D71" s="41"/>
      <c r="E71" s="41"/>
      <c r="F71" s="41"/>
      <c r="G71" s="41"/>
      <c r="H71" s="260">
        <v>0</v>
      </c>
      <c r="I71" s="261">
        <v>1</v>
      </c>
      <c r="J71" s="243">
        <f>YEARFRAC(I61,J61)</f>
        <v>1</v>
      </c>
      <c r="K71" s="243">
        <f>YEARFRAC(J61,K61)</f>
        <v>1</v>
      </c>
      <c r="L71" s="243">
        <f>YEARFRAC(K61,L61)</f>
        <v>1</v>
      </c>
      <c r="M71" s="243">
        <f>YEARFRAC(L61,M61)</f>
        <v>1</v>
      </c>
      <c r="N71" s="58"/>
    </row>
    <row r="72" spans="2:14">
      <c r="B72" s="127" t="s">
        <v>246</v>
      </c>
      <c r="C72" s="41"/>
      <c r="D72" s="41"/>
      <c r="E72" s="41"/>
      <c r="F72" s="41"/>
      <c r="G72" s="41"/>
      <c r="H72" s="246">
        <f t="shared" ref="H72:M73" si="19">H66</f>
        <v>0</v>
      </c>
      <c r="I72" s="170">
        <f t="shared" si="19"/>
        <v>2126.2559838687989</v>
      </c>
      <c r="J72" s="170">
        <f t="shared" si="19"/>
        <v>2129.6308558403321</v>
      </c>
      <c r="K72" s="170">
        <f t="shared" si="19"/>
        <v>2489.8940234749944</v>
      </c>
      <c r="L72" s="170">
        <f t="shared" si="19"/>
        <v>2608.1719912426056</v>
      </c>
      <c r="M72" s="170">
        <f t="shared" si="19"/>
        <v>2911.8389226816194</v>
      </c>
      <c r="N72" s="58"/>
    </row>
    <row r="73" spans="2:14">
      <c r="B73" s="127" t="s">
        <v>233</v>
      </c>
      <c r="C73" s="41"/>
      <c r="D73" s="41"/>
      <c r="E73" s="41"/>
      <c r="F73" s="41"/>
      <c r="G73" s="41"/>
      <c r="H73" s="232">
        <f t="shared" si="19"/>
        <v>0</v>
      </c>
      <c r="I73" s="170">
        <f t="shared" si="19"/>
        <v>0</v>
      </c>
      <c r="J73" s="170">
        <f t="shared" si="19"/>
        <v>0</v>
      </c>
      <c r="K73" s="170">
        <f t="shared" si="19"/>
        <v>0</v>
      </c>
      <c r="L73" s="170">
        <f t="shared" si="19"/>
        <v>0</v>
      </c>
      <c r="M73" s="170">
        <f t="shared" si="19"/>
        <v>48543.092627838414</v>
      </c>
      <c r="N73" s="58"/>
    </row>
    <row r="74" spans="2:14">
      <c r="B74" s="127" t="s">
        <v>234</v>
      </c>
      <c r="C74" s="41"/>
      <c r="D74" s="41"/>
      <c r="E74" s="41"/>
      <c r="F74" s="41"/>
      <c r="G74" s="41"/>
      <c r="H74" s="169">
        <f>H71*H72</f>
        <v>0</v>
      </c>
      <c r="I74" s="169">
        <f>I71*I72</f>
        <v>2126.2559838687989</v>
      </c>
      <c r="J74" s="169">
        <f t="shared" ref="J74:L74" si="20">J71*J72</f>
        <v>2129.6308558403321</v>
      </c>
      <c r="K74" s="169">
        <f t="shared" si="20"/>
        <v>2489.8940234749944</v>
      </c>
      <c r="L74" s="169">
        <f t="shared" si="20"/>
        <v>2608.1719912426056</v>
      </c>
      <c r="M74" s="169">
        <f>M68</f>
        <v>51454.931550520036</v>
      </c>
      <c r="N74" s="58"/>
    </row>
    <row r="75" spans="2:14">
      <c r="B75" s="41"/>
      <c r="C75" s="41"/>
      <c r="D75" s="41"/>
      <c r="E75" s="41"/>
      <c r="F75" s="41"/>
      <c r="G75" s="41"/>
      <c r="H75" s="194"/>
      <c r="I75" s="194"/>
      <c r="J75" s="194"/>
      <c r="K75" s="194"/>
      <c r="L75" s="194"/>
      <c r="M75" s="194"/>
      <c r="N75" s="58"/>
    </row>
    <row r="76" spans="2:14">
      <c r="B76" s="185" t="s">
        <v>254</v>
      </c>
      <c r="C76" s="41"/>
      <c r="D76" s="41"/>
      <c r="E76" s="41"/>
      <c r="F76" s="41"/>
      <c r="G76" s="41"/>
      <c r="H76" s="194"/>
      <c r="I76" s="194"/>
      <c r="J76" s="194"/>
      <c r="K76" s="194"/>
      <c r="L76" s="194"/>
      <c r="M76" s="194"/>
      <c r="N76" s="58"/>
    </row>
    <row r="77" spans="2:14">
      <c r="B77" s="181" t="s">
        <v>235</v>
      </c>
      <c r="C77" s="41"/>
      <c r="D77" s="41"/>
      <c r="E77" s="41"/>
      <c r="F77" s="41"/>
      <c r="G77" s="41"/>
      <c r="H77" s="232">
        <v>0</v>
      </c>
      <c r="I77" s="236">
        <f>YEARFRAC($H$60,I61)</f>
        <v>0.24166666666666667</v>
      </c>
      <c r="J77" s="236">
        <f>YEARFRAC($H$60,J61)</f>
        <v>1.2416666666666667</v>
      </c>
      <c r="K77" s="236">
        <f>YEARFRAC($H$60,K61)</f>
        <v>2.2416666666666667</v>
      </c>
      <c r="L77" s="236">
        <f>YEARFRAC($H$60,L61)</f>
        <v>3.2416666666666667</v>
      </c>
      <c r="M77" s="236">
        <f>YEARFRAC($H$60,M61)</f>
        <v>4.2416666666666663</v>
      </c>
      <c r="N77" s="58"/>
    </row>
    <row r="78" spans="2:14">
      <c r="B78" s="127" t="s">
        <v>246</v>
      </c>
      <c r="C78" s="41"/>
      <c r="D78" s="41"/>
      <c r="E78" s="41"/>
      <c r="F78" s="41"/>
      <c r="G78" s="41"/>
      <c r="H78" s="232">
        <v>0</v>
      </c>
      <c r="I78" s="170">
        <f>I72/(1+$D$60)^I77</f>
        <v>2081.9704802079668</v>
      </c>
      <c r="J78" s="170">
        <f>J72/(1+$D$60)^J77</f>
        <v>1911.3428603058112</v>
      </c>
      <c r="K78" s="170">
        <f>K72/(1+$D$60)^K77</f>
        <v>2048.2849792610805</v>
      </c>
      <c r="L78" s="170">
        <f>L72/(1+$D$60)^L77</f>
        <v>1966.6224548586677</v>
      </c>
      <c r="M78" s="170">
        <f>M72/(1+$D$60)^M77</f>
        <v>2012.4604921712203</v>
      </c>
      <c r="N78" s="58"/>
    </row>
    <row r="79" spans="2:14">
      <c r="B79" s="127" t="s">
        <v>233</v>
      </c>
      <c r="C79" s="41"/>
      <c r="D79" s="41"/>
      <c r="E79" s="41"/>
      <c r="F79" s="41"/>
      <c r="G79" s="41"/>
      <c r="H79" s="232">
        <v>0</v>
      </c>
      <c r="I79" s="170">
        <f>I73/(1+$D$66)^I78</f>
        <v>0</v>
      </c>
      <c r="J79" s="170">
        <f>J73/(1+$D$66)^J78</f>
        <v>0</v>
      </c>
      <c r="K79" s="170">
        <f>K73/(1+$D$66)^K78</f>
        <v>0</v>
      </c>
      <c r="L79" s="170">
        <f>L73/(1+$D$66)^L78</f>
        <v>0</v>
      </c>
      <c r="M79" s="170">
        <f>M73/(1+$D$60)^M77</f>
        <v>33549.60857222334</v>
      </c>
      <c r="N79" s="58"/>
    </row>
    <row r="80" spans="2:14">
      <c r="B80" s="127" t="s">
        <v>234</v>
      </c>
      <c r="C80" s="41"/>
      <c r="D80" s="41"/>
      <c r="E80" s="41"/>
      <c r="F80" s="41"/>
      <c r="G80" s="41"/>
      <c r="H80" s="244">
        <f>SUM(H77:H79)</f>
        <v>0</v>
      </c>
      <c r="I80" s="169">
        <f>SUM(I77:I79)</f>
        <v>2082.2121468746336</v>
      </c>
      <c r="J80" s="169">
        <f t="shared" ref="J80:M80" si="21">SUM(J77:J79)</f>
        <v>1912.5845269724778</v>
      </c>
      <c r="K80" s="169">
        <f t="shared" si="21"/>
        <v>2050.5266459277473</v>
      </c>
      <c r="L80" s="169">
        <f t="shared" si="21"/>
        <v>1969.8641215253342</v>
      </c>
      <c r="M80" s="169">
        <f t="shared" si="21"/>
        <v>35566.310731061225</v>
      </c>
      <c r="N80" s="58"/>
    </row>
    <row r="82" spans="2:14">
      <c r="B82" s="39" t="s">
        <v>204</v>
      </c>
      <c r="C82" s="41"/>
      <c r="D82" s="41"/>
      <c r="E82" s="41"/>
      <c r="F82" s="41"/>
      <c r="G82" s="41"/>
      <c r="H82" s="41"/>
      <c r="I82" s="466">
        <f>I21</f>
        <v>57054.63896907217</v>
      </c>
      <c r="J82" s="466">
        <f t="shared" ref="J82:M82" si="22">J21</f>
        <v>55528.21711726897</v>
      </c>
      <c r="K82" s="466">
        <f t="shared" si="22"/>
        <v>53668.923065391726</v>
      </c>
      <c r="L82" s="466">
        <f t="shared" si="22"/>
        <v>50813.850328897301</v>
      </c>
      <c r="M82" s="466">
        <f t="shared" si="22"/>
        <v>47728.784203266332</v>
      </c>
    </row>
    <row r="83" spans="2:14">
      <c r="B83" s="39" t="s">
        <v>359</v>
      </c>
      <c r="C83" s="41"/>
      <c r="D83" s="41"/>
      <c r="E83" s="41"/>
      <c r="F83" s="41"/>
      <c r="G83" s="41"/>
      <c r="H83" s="41"/>
      <c r="I83" s="450">
        <f>I80/I82</f>
        <v>3.6495054293540378E-2</v>
      </c>
      <c r="J83" s="450">
        <f>J80/J82</f>
        <v>3.4443470838138514E-2</v>
      </c>
      <c r="K83" s="450">
        <f>K80/K82</f>
        <v>3.8206964641890204E-2</v>
      </c>
      <c r="L83" s="450">
        <f>L80/L82</f>
        <v>3.8766283380913043E-2</v>
      </c>
      <c r="M83" s="450">
        <f>M80/M82</f>
        <v>0.74517529253609682</v>
      </c>
    </row>
    <row r="85" spans="2:14">
      <c r="B85" s="267" t="s">
        <v>362</v>
      </c>
      <c r="C85" s="283"/>
      <c r="D85" s="283"/>
      <c r="E85" s="283"/>
      <c r="F85" s="248"/>
      <c r="G85" s="458"/>
      <c r="H85" s="266"/>
      <c r="I85" s="81"/>
      <c r="J85" s="488" t="s">
        <v>256</v>
      </c>
      <c r="K85" s="488"/>
      <c r="L85" s="488"/>
      <c r="M85" s="488"/>
      <c r="N85" s="135"/>
    </row>
    <row r="86" spans="2:14">
      <c r="B86" s="127" t="s">
        <v>361</v>
      </c>
      <c r="C86" s="283"/>
      <c r="D86" s="283"/>
      <c r="E86" s="464">
        <f>M86/M88</f>
        <v>0.16561853691175055</v>
      </c>
      <c r="G86" s="266"/>
      <c r="H86" s="459"/>
      <c r="I86" s="81"/>
      <c r="J86" s="269" t="s">
        <v>258</v>
      </c>
      <c r="K86" s="270"/>
      <c r="L86" s="271"/>
      <c r="M86" s="461">
        <f>SUM(H83:L83)</f>
        <v>0.14791177315448215</v>
      </c>
      <c r="N86" s="135"/>
    </row>
    <row r="87" spans="2:14">
      <c r="B87" s="127" t="s">
        <v>360</v>
      </c>
      <c r="C87" s="283"/>
      <c r="D87" s="283"/>
      <c r="E87" s="464">
        <f>M87/M88</f>
        <v>0.83438146308824945</v>
      </c>
      <c r="G87" s="266"/>
      <c r="H87" s="460"/>
      <c r="I87" s="81"/>
      <c r="J87" s="273" t="s">
        <v>259</v>
      </c>
      <c r="K87" s="81"/>
      <c r="L87" s="274"/>
      <c r="M87" s="462">
        <f>M83</f>
        <v>0.74517529253609682</v>
      </c>
      <c r="N87" s="135"/>
    </row>
    <row r="88" spans="2:14">
      <c r="B88" s="283"/>
      <c r="C88" s="283"/>
      <c r="D88" s="283"/>
      <c r="E88" s="283"/>
      <c r="F88" s="41"/>
      <c r="G88" s="81"/>
      <c r="H88" s="81"/>
      <c r="I88" s="81"/>
      <c r="J88" s="276" t="s">
        <v>260</v>
      </c>
      <c r="K88" s="277"/>
      <c r="L88" s="278"/>
      <c r="M88" s="463">
        <f>M86+M87</f>
        <v>0.89308706569057894</v>
      </c>
      <c r="N88" s="135"/>
    </row>
    <row r="91" spans="2:14" ht="18.75">
      <c r="B91" s="31" t="s">
        <v>265</v>
      </c>
      <c r="C91" s="32"/>
      <c r="D91" s="32"/>
      <c r="E91" s="32"/>
      <c r="F91" s="32"/>
      <c r="G91" s="33"/>
      <c r="H91" s="33"/>
      <c r="I91" s="34"/>
      <c r="J91" s="34"/>
      <c r="K91" s="34"/>
      <c r="L91" s="34"/>
      <c r="M91" s="34"/>
      <c r="N91" s="34"/>
    </row>
    <row r="93" spans="2:14" ht="15.75">
      <c r="B93" s="35" t="s">
        <v>10</v>
      </c>
      <c r="C93" s="36"/>
      <c r="D93" s="36"/>
      <c r="E93" s="36"/>
      <c r="F93" s="62"/>
      <c r="G93" s="62"/>
      <c r="H93" s="227" t="s">
        <v>203</v>
      </c>
      <c r="I93" s="443" t="s">
        <v>246</v>
      </c>
      <c r="J93" s="444"/>
      <c r="K93" s="444"/>
      <c r="L93" s="444"/>
      <c r="M93" s="445"/>
      <c r="N93" s="228" t="s">
        <v>247</v>
      </c>
    </row>
    <row r="94" spans="2:14" ht="15.75">
      <c r="F94" s="62"/>
      <c r="G94" s="62"/>
      <c r="H94" s="226" t="s">
        <v>248</v>
      </c>
      <c r="I94" s="221" t="s">
        <v>248</v>
      </c>
      <c r="J94" s="221" t="s">
        <v>248</v>
      </c>
      <c r="K94" s="221" t="s">
        <v>248</v>
      </c>
      <c r="L94" s="221" t="s">
        <v>248</v>
      </c>
      <c r="M94" s="222" t="s">
        <v>248</v>
      </c>
      <c r="N94" s="222" t="s">
        <v>248</v>
      </c>
    </row>
    <row r="95" spans="2:14" ht="15.75">
      <c r="B95" s="87" t="s">
        <v>195</v>
      </c>
      <c r="C95" s="62"/>
      <c r="D95" s="247">
        <f>D6</f>
        <v>9.0999999999999998E-2</v>
      </c>
      <c r="F95" s="220" t="s">
        <v>249</v>
      </c>
      <c r="G95" s="62"/>
      <c r="H95" s="239">
        <f>DATE(2026,4,3)</f>
        <v>46115</v>
      </c>
      <c r="I95" s="237">
        <f>DATE(I4,12,31)</f>
        <v>46387</v>
      </c>
      <c r="J95" s="237">
        <f>DATE(J4,12,31)</f>
        <v>46752</v>
      </c>
      <c r="K95" s="237">
        <f>DATE(K4,12,31)</f>
        <v>47118</v>
      </c>
      <c r="L95" s="237">
        <f>DATE(L4,12,31)</f>
        <v>47483</v>
      </c>
      <c r="M95" s="238">
        <f>DATE(M4,12,31)</f>
        <v>47848</v>
      </c>
      <c r="N95" s="223">
        <f>DATE(M4+1,12,31)</f>
        <v>48213</v>
      </c>
    </row>
    <row r="96" spans="2:14" ht="15.75">
      <c r="B96" s="214" t="s">
        <v>266</v>
      </c>
      <c r="C96" s="177"/>
      <c r="D96" s="300">
        <f>'Inputs &amp; Assumptions'!H27</f>
        <v>1.4195591570313044</v>
      </c>
      <c r="F96" s="220" t="s">
        <v>250</v>
      </c>
      <c r="G96" s="62"/>
      <c r="H96" s="239">
        <f>DATE(2026,4,3)</f>
        <v>46115</v>
      </c>
      <c r="I96" s="224">
        <f t="shared" ref="I96" si="23">EDATE(I95,-6)</f>
        <v>46203</v>
      </c>
      <c r="J96" s="224">
        <f t="shared" ref="J96" si="24">EDATE(J95,-6)</f>
        <v>46568</v>
      </c>
      <c r="K96" s="224">
        <f t="shared" ref="K96" si="25">EDATE(K95,-6)</f>
        <v>46934</v>
      </c>
      <c r="L96" s="224">
        <f t="shared" ref="L96" si="26">EDATE(L95,-6)</f>
        <v>47299</v>
      </c>
      <c r="M96" s="225">
        <f t="shared" ref="M96" si="27">EDATE(M95,-6)</f>
        <v>47664</v>
      </c>
      <c r="N96" s="225">
        <f t="shared" ref="N96" si="28">EDATE(N95,-6)</f>
        <v>48029</v>
      </c>
    </row>
    <row r="97" spans="2:14" ht="15.75">
      <c r="B97" s="41"/>
      <c r="C97" s="62"/>
      <c r="H97" s="245"/>
    </row>
    <row r="98" spans="2:14" ht="15.75">
      <c r="B98" s="87" t="s">
        <v>212</v>
      </c>
      <c r="C98" s="62"/>
      <c r="H98" s="240">
        <v>0</v>
      </c>
      <c r="I98" s="241">
        <f>I11</f>
        <v>2126.2559838687989</v>
      </c>
      <c r="J98" s="241">
        <f>J11</f>
        <v>2129.6308558403321</v>
      </c>
      <c r="K98" s="241">
        <f>K11</f>
        <v>2489.8940234749944</v>
      </c>
      <c r="L98" s="241">
        <f>L11</f>
        <v>2608.1719912426056</v>
      </c>
      <c r="M98" s="241">
        <f>M11</f>
        <v>2911.8389226816194</v>
      </c>
      <c r="N98" s="467">
        <v>0</v>
      </c>
    </row>
    <row r="99" spans="2:14">
      <c r="B99" s="87" t="s">
        <v>100</v>
      </c>
      <c r="C99" s="41"/>
      <c r="D99" s="41"/>
      <c r="E99" s="41"/>
      <c r="F99" s="41"/>
      <c r="G99" s="41"/>
      <c r="H99" s="280"/>
      <c r="I99" s="241"/>
      <c r="J99" s="241"/>
      <c r="K99" s="241"/>
      <c r="L99" s="241"/>
      <c r="M99" s="241"/>
      <c r="N99" s="281">
        <f>'Financial Model'!M128</f>
        <v>37288.562486243783</v>
      </c>
    </row>
    <row r="100" spans="2:14"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</row>
    <row r="101" spans="2:14">
      <c r="B101" s="185" t="s">
        <v>251</v>
      </c>
      <c r="C101" s="41"/>
      <c r="D101" s="41"/>
      <c r="E101" s="41"/>
      <c r="F101" s="41"/>
      <c r="G101" s="81"/>
      <c r="H101" s="81"/>
      <c r="I101" s="81"/>
      <c r="J101" s="81"/>
      <c r="K101" s="81"/>
      <c r="L101" s="81"/>
      <c r="M101" s="81"/>
      <c r="N101" s="81"/>
    </row>
    <row r="102" spans="2:14">
      <c r="B102" s="127" t="s">
        <v>246</v>
      </c>
      <c r="C102" s="41"/>
      <c r="D102" s="41"/>
      <c r="E102" s="41"/>
      <c r="F102" s="258" t="s">
        <v>263</v>
      </c>
      <c r="G102" s="81"/>
      <c r="H102" s="194">
        <f t="shared" ref="H102" si="29">H98</f>
        <v>0</v>
      </c>
      <c r="I102" s="170">
        <f>I98</f>
        <v>2126.2559838687989</v>
      </c>
      <c r="J102" s="170">
        <f t="shared" ref="J102:N102" si="30">J98</f>
        <v>2129.6308558403321</v>
      </c>
      <c r="K102" s="170">
        <f t="shared" si="30"/>
        <v>2489.8940234749944</v>
      </c>
      <c r="L102" s="170">
        <f t="shared" si="30"/>
        <v>2608.1719912426056</v>
      </c>
      <c r="M102" s="170">
        <f t="shared" si="30"/>
        <v>2911.8389226816194</v>
      </c>
      <c r="N102" s="170">
        <f t="shared" si="30"/>
        <v>0</v>
      </c>
    </row>
    <row r="103" spans="2:14">
      <c r="B103" s="127" t="s">
        <v>233</v>
      </c>
      <c r="C103" s="41"/>
      <c r="D103" s="41"/>
      <c r="E103" s="41"/>
      <c r="F103" s="258" t="s">
        <v>264</v>
      </c>
      <c r="G103" s="81"/>
      <c r="H103" s="232">
        <v>0</v>
      </c>
      <c r="I103" s="232">
        <v>0</v>
      </c>
      <c r="J103" s="232">
        <v>0</v>
      </c>
      <c r="K103" s="232">
        <v>0</v>
      </c>
      <c r="L103" s="232">
        <v>0</v>
      </c>
      <c r="M103" s="232">
        <v>0</v>
      </c>
      <c r="N103" s="170">
        <f>N99*D96</f>
        <v>52933.320329881346</v>
      </c>
    </row>
    <row r="104" spans="2:14">
      <c r="B104" s="127" t="s">
        <v>234</v>
      </c>
      <c r="C104" s="41"/>
      <c r="D104" s="41"/>
      <c r="E104" s="41"/>
      <c r="F104" s="259">
        <f>YEARFRAC(N96,N95)</f>
        <v>0.5</v>
      </c>
      <c r="G104" s="81"/>
      <c r="H104" s="244">
        <f t="shared" ref="H104" si="31">SUM(H102:H103)</f>
        <v>0</v>
      </c>
      <c r="I104" s="169">
        <f>SUM(I102,I103)</f>
        <v>2126.2559838687989</v>
      </c>
      <c r="J104" s="169">
        <f t="shared" ref="J104:N104" si="32">SUM(J102,J103)</f>
        <v>2129.6308558403321</v>
      </c>
      <c r="K104" s="169">
        <f t="shared" si="32"/>
        <v>2489.8940234749944</v>
      </c>
      <c r="L104" s="169">
        <f t="shared" si="32"/>
        <v>2608.1719912426056</v>
      </c>
      <c r="M104" s="169">
        <f t="shared" si="32"/>
        <v>2911.8389226816194</v>
      </c>
      <c r="N104" s="169">
        <f t="shared" si="32"/>
        <v>52933.320329881346</v>
      </c>
    </row>
    <row r="105" spans="2:14">
      <c r="B105" s="41"/>
      <c r="C105" s="41"/>
      <c r="D105" s="41"/>
      <c r="E105" s="41"/>
      <c r="F105" s="41"/>
      <c r="G105" s="81"/>
      <c r="H105" s="81"/>
      <c r="I105" s="81"/>
      <c r="J105" s="81"/>
      <c r="K105" s="81"/>
      <c r="L105" s="81"/>
      <c r="M105" s="81"/>
      <c r="N105" s="81"/>
    </row>
    <row r="106" spans="2:14">
      <c r="B106" s="41"/>
      <c r="C106" s="41"/>
      <c r="D106" s="41"/>
      <c r="E106" s="41"/>
      <c r="F106" s="41"/>
      <c r="G106" s="81"/>
      <c r="H106" s="81"/>
      <c r="I106" s="81"/>
      <c r="J106" s="81"/>
      <c r="K106" s="81"/>
      <c r="L106" s="81"/>
      <c r="M106" s="81"/>
      <c r="N106" s="81"/>
    </row>
    <row r="107" spans="2:14">
      <c r="B107" s="185" t="s">
        <v>252</v>
      </c>
      <c r="C107" s="41"/>
      <c r="D107" s="41"/>
      <c r="E107" s="41"/>
      <c r="F107" s="41"/>
      <c r="G107" s="81"/>
      <c r="H107" s="81"/>
      <c r="I107" s="81"/>
      <c r="J107" s="81"/>
      <c r="K107" s="81"/>
      <c r="L107" s="81"/>
      <c r="M107" s="81"/>
      <c r="N107" s="81"/>
    </row>
    <row r="108" spans="2:14">
      <c r="B108" s="181" t="s">
        <v>253</v>
      </c>
      <c r="C108" s="41"/>
      <c r="D108" s="41"/>
      <c r="E108" s="41"/>
      <c r="F108" s="41"/>
      <c r="G108" s="81"/>
      <c r="H108" s="232">
        <v>0</v>
      </c>
      <c r="I108" s="262">
        <v>1</v>
      </c>
      <c r="J108" s="263">
        <f>YEARFRAC(I61,J61)</f>
        <v>1</v>
      </c>
      <c r="K108" s="263">
        <f>YEARFRAC(J61,K61)</f>
        <v>1</v>
      </c>
      <c r="L108" s="263">
        <f>YEARFRAC(K61,L61)</f>
        <v>1</v>
      </c>
      <c r="M108" s="263">
        <f>YEARFRAC(L61,M61)</f>
        <v>1</v>
      </c>
      <c r="N108" s="263">
        <f>YEARFRAC(M61,N61)</f>
        <v>1</v>
      </c>
    </row>
    <row r="109" spans="2:14">
      <c r="B109" s="127" t="s">
        <v>246</v>
      </c>
      <c r="C109" s="41"/>
      <c r="D109" s="41"/>
      <c r="E109" s="41"/>
      <c r="F109" s="41"/>
      <c r="G109" s="81"/>
      <c r="H109" s="232">
        <v>0</v>
      </c>
      <c r="I109" s="170">
        <f>I102</f>
        <v>2126.2559838687989</v>
      </c>
      <c r="J109" s="170">
        <f t="shared" ref="J109:M109" si="33">J102</f>
        <v>2129.6308558403321</v>
      </c>
      <c r="K109" s="170">
        <f t="shared" si="33"/>
        <v>2489.8940234749944</v>
      </c>
      <c r="L109" s="170">
        <f t="shared" si="33"/>
        <v>2608.1719912426056</v>
      </c>
      <c r="M109" s="170">
        <f t="shared" si="33"/>
        <v>2911.8389226816194</v>
      </c>
      <c r="N109" s="170">
        <f>N102</f>
        <v>0</v>
      </c>
    </row>
    <row r="110" spans="2:14">
      <c r="B110" s="127" t="s">
        <v>233</v>
      </c>
      <c r="C110" s="41"/>
      <c r="D110" s="41"/>
      <c r="E110" s="41"/>
      <c r="F110" s="41"/>
      <c r="G110" s="81"/>
      <c r="H110" s="232">
        <v>0</v>
      </c>
      <c r="I110" s="170">
        <v>0</v>
      </c>
      <c r="J110" s="170">
        <v>0</v>
      </c>
      <c r="K110" s="170">
        <v>0</v>
      </c>
      <c r="L110" s="170">
        <v>0</v>
      </c>
      <c r="M110" s="170">
        <v>0</v>
      </c>
      <c r="N110" s="170">
        <f>N103</f>
        <v>52933.320329881346</v>
      </c>
    </row>
    <row r="111" spans="2:14">
      <c r="B111" s="127" t="s">
        <v>234</v>
      </c>
      <c r="C111" s="41"/>
      <c r="D111" s="41"/>
      <c r="E111" s="41"/>
      <c r="F111" s="41"/>
      <c r="G111" s="81"/>
      <c r="H111" s="282">
        <v>0</v>
      </c>
      <c r="I111" s="169">
        <f>I108*I109</f>
        <v>2126.2559838687989</v>
      </c>
      <c r="J111" s="169">
        <f>J108*J109</f>
        <v>2129.6308558403321</v>
      </c>
      <c r="K111" s="169">
        <f>K108*K109</f>
        <v>2489.8940234749944</v>
      </c>
      <c r="L111" s="169">
        <f>L108*L109</f>
        <v>2608.1719912426056</v>
      </c>
      <c r="M111" s="169">
        <f>M108*M109</f>
        <v>2911.8389226816194</v>
      </c>
      <c r="N111" s="169">
        <f>N109+N110</f>
        <v>52933.320329881346</v>
      </c>
    </row>
    <row r="112" spans="2:14">
      <c r="B112" s="41"/>
      <c r="C112" s="41"/>
      <c r="D112" s="41"/>
      <c r="E112" s="41"/>
      <c r="F112" s="41"/>
      <c r="G112" s="81"/>
      <c r="H112" s="81"/>
      <c r="I112" s="81"/>
      <c r="J112" s="81"/>
      <c r="K112" s="81"/>
      <c r="L112" s="81"/>
      <c r="M112" s="81"/>
      <c r="N112" s="81"/>
    </row>
    <row r="113" spans="2:14">
      <c r="B113" s="41"/>
      <c r="C113" s="41"/>
      <c r="D113" s="41"/>
      <c r="E113" s="41"/>
      <c r="F113" s="41"/>
      <c r="G113" s="81"/>
      <c r="H113" s="81"/>
      <c r="I113" s="81"/>
      <c r="J113" s="81"/>
      <c r="K113" s="81"/>
      <c r="L113" s="81"/>
      <c r="M113" s="81"/>
      <c r="N113" s="81"/>
    </row>
    <row r="114" spans="2:14">
      <c r="B114" s="185" t="s">
        <v>254</v>
      </c>
      <c r="C114" s="41"/>
      <c r="D114" s="41"/>
      <c r="E114" s="41"/>
      <c r="F114" s="41"/>
      <c r="G114" s="81"/>
      <c r="H114" s="81"/>
      <c r="I114" s="81"/>
      <c r="J114" s="81"/>
      <c r="K114" s="81"/>
      <c r="L114" s="81"/>
      <c r="M114" s="81"/>
      <c r="N114" s="81"/>
    </row>
    <row r="115" spans="2:14">
      <c r="B115" s="181" t="s">
        <v>235</v>
      </c>
      <c r="C115" s="41"/>
      <c r="D115" s="41"/>
      <c r="E115" s="41"/>
      <c r="F115" s="41"/>
      <c r="G115" s="81"/>
      <c r="H115" s="232">
        <v>0</v>
      </c>
      <c r="I115" s="265">
        <f t="shared" ref="I115:N115" si="34">YEARFRAC($H$60,I61)</f>
        <v>0.24166666666666667</v>
      </c>
      <c r="J115" s="265">
        <f t="shared" si="34"/>
        <v>1.2416666666666667</v>
      </c>
      <c r="K115" s="265">
        <f t="shared" si="34"/>
        <v>2.2416666666666667</v>
      </c>
      <c r="L115" s="265">
        <f t="shared" si="34"/>
        <v>3.2416666666666667</v>
      </c>
      <c r="M115" s="265">
        <f t="shared" si="34"/>
        <v>4.2416666666666663</v>
      </c>
      <c r="N115" s="265">
        <f t="shared" si="34"/>
        <v>5.2416666666666663</v>
      </c>
    </row>
    <row r="116" spans="2:14">
      <c r="B116" s="127" t="s">
        <v>246</v>
      </c>
      <c r="C116" s="41"/>
      <c r="D116" s="41"/>
      <c r="E116" s="41"/>
      <c r="F116" s="41"/>
      <c r="G116" s="81"/>
      <c r="H116" s="232">
        <v>0</v>
      </c>
      <c r="I116" s="170">
        <f>I98</f>
        <v>2126.2559838687989</v>
      </c>
      <c r="J116" s="170">
        <f t="shared" ref="J116:N116" si="35">J98</f>
        <v>2129.6308558403321</v>
      </c>
      <c r="K116" s="170">
        <f t="shared" si="35"/>
        <v>2489.8940234749944</v>
      </c>
      <c r="L116" s="170">
        <f t="shared" si="35"/>
        <v>2608.1719912426056</v>
      </c>
      <c r="M116" s="170">
        <f t="shared" si="35"/>
        <v>2911.8389226816194</v>
      </c>
      <c r="N116" s="170">
        <f t="shared" si="35"/>
        <v>0</v>
      </c>
    </row>
    <row r="117" spans="2:14">
      <c r="B117" s="127" t="s">
        <v>233</v>
      </c>
      <c r="C117" s="41"/>
      <c r="D117" s="41"/>
      <c r="E117" s="41"/>
      <c r="F117" s="41"/>
      <c r="G117" s="81"/>
      <c r="H117" s="232">
        <v>0</v>
      </c>
      <c r="I117" s="170">
        <v>0</v>
      </c>
      <c r="J117" s="170">
        <v>0</v>
      </c>
      <c r="K117" s="170">
        <v>0</v>
      </c>
      <c r="L117" s="170">
        <v>0</v>
      </c>
      <c r="M117" s="170">
        <v>0</v>
      </c>
      <c r="N117" s="170">
        <f>N99</f>
        <v>37288.562486243783</v>
      </c>
    </row>
    <row r="118" spans="2:14">
      <c r="B118" s="127" t="s">
        <v>234</v>
      </c>
      <c r="C118" s="41"/>
      <c r="D118" s="41"/>
      <c r="E118" s="41"/>
      <c r="F118" s="41"/>
      <c r="G118" s="81"/>
      <c r="H118" s="282">
        <v>0</v>
      </c>
      <c r="I118" s="169">
        <f>I116 / ((1+$D$95)^I115)</f>
        <v>2081.9704802079668</v>
      </c>
      <c r="J118" s="169">
        <f>J116 / ((1+$D$95)^J115)</f>
        <v>1911.3428603058112</v>
      </c>
      <c r="K118" s="169">
        <f>K116 / ((1+$D$95)^K115)</f>
        <v>2048.2849792610805</v>
      </c>
      <c r="L118" s="169">
        <f>L116 / ((1+$D$95)^L115)</f>
        <v>1966.6224548586677</v>
      </c>
      <c r="M118" s="169">
        <f>M116 / ((1+$D$95)^M115)</f>
        <v>2012.4604921712203</v>
      </c>
      <c r="N118" s="169">
        <f>N111 / ((1+$D$95)^N115)</f>
        <v>33532.381796468857</v>
      </c>
    </row>
    <row r="119" spans="2:14">
      <c r="B119" s="41"/>
      <c r="C119" s="41"/>
      <c r="D119" s="41"/>
      <c r="E119" s="41"/>
      <c r="F119" s="41"/>
      <c r="G119" s="81"/>
      <c r="H119" s="81"/>
      <c r="I119" s="81"/>
      <c r="J119" s="81"/>
      <c r="K119" s="81"/>
      <c r="L119" s="81"/>
      <c r="M119" s="81"/>
      <c r="N119" s="81"/>
    </row>
    <row r="120" spans="2:14">
      <c r="B120" s="39" t="s">
        <v>204</v>
      </c>
      <c r="C120" s="41"/>
      <c r="D120" s="41"/>
      <c r="E120" s="41"/>
      <c r="F120" s="41"/>
      <c r="G120" s="41"/>
      <c r="H120" s="41"/>
      <c r="I120" s="456">
        <f>I82</f>
        <v>57054.63896907217</v>
      </c>
      <c r="J120" s="456">
        <f t="shared" ref="J120:M120" si="36">J82</f>
        <v>55528.21711726897</v>
      </c>
      <c r="K120" s="456">
        <f t="shared" si="36"/>
        <v>53668.923065391726</v>
      </c>
      <c r="L120" s="456">
        <f t="shared" si="36"/>
        <v>50813.850328897301</v>
      </c>
      <c r="M120" s="456">
        <f t="shared" si="36"/>
        <v>47728.784203266332</v>
      </c>
      <c r="N120" s="468">
        <f>M120</f>
        <v>47728.784203266332</v>
      </c>
    </row>
    <row r="121" spans="2:14">
      <c r="B121" s="39" t="s">
        <v>359</v>
      </c>
      <c r="C121" s="41"/>
      <c r="D121" s="41"/>
      <c r="E121" s="41"/>
      <c r="F121" s="41"/>
      <c r="G121" s="41"/>
      <c r="H121" s="41"/>
      <c r="I121" s="450">
        <f t="shared" ref="I121:N121" si="37">I118/I120</f>
        <v>3.6490818587714642E-2</v>
      </c>
      <c r="J121" s="450">
        <f t="shared" si="37"/>
        <v>3.4421109834469978E-2</v>
      </c>
      <c r="K121" s="450">
        <f t="shared" si="37"/>
        <v>3.8165196211695777E-2</v>
      </c>
      <c r="L121" s="450">
        <f t="shared" si="37"/>
        <v>3.8702488438280579E-2</v>
      </c>
      <c r="M121" s="450">
        <f t="shared" si="37"/>
        <v>4.2164503575045954E-2</v>
      </c>
      <c r="N121" s="450">
        <f t="shared" si="37"/>
        <v>0.70256098822173763</v>
      </c>
    </row>
    <row r="122" spans="2:14">
      <c r="N122" s="81"/>
    </row>
    <row r="123" spans="2:14">
      <c r="B123" s="267" t="s">
        <v>362</v>
      </c>
      <c r="C123" s="283"/>
      <c r="D123" s="283"/>
      <c r="E123" s="283"/>
      <c r="F123" s="248"/>
      <c r="G123" s="458"/>
      <c r="H123" s="266"/>
      <c r="I123" s="81"/>
      <c r="J123" s="488" t="s">
        <v>256</v>
      </c>
      <c r="K123" s="488"/>
      <c r="L123" s="488"/>
      <c r="M123" s="488"/>
      <c r="N123" s="81"/>
    </row>
    <row r="124" spans="2:14">
      <c r="B124" s="127" t="s">
        <v>361</v>
      </c>
      <c r="C124" s="283"/>
      <c r="D124" s="283"/>
      <c r="E124" s="464">
        <f>M124/M126</f>
        <v>0.21282132237786844</v>
      </c>
      <c r="G124" s="266"/>
      <c r="H124" s="459"/>
      <c r="I124" s="81"/>
      <c r="J124" s="269" t="s">
        <v>258</v>
      </c>
      <c r="K124" s="270"/>
      <c r="L124" s="271"/>
      <c r="M124" s="461">
        <f>SUM(I121:M121)</f>
        <v>0.18994411664720692</v>
      </c>
      <c r="N124" s="81"/>
    </row>
    <row r="125" spans="2:14">
      <c r="B125" s="127" t="s">
        <v>360</v>
      </c>
      <c r="C125" s="283"/>
      <c r="D125" s="283"/>
      <c r="E125" s="464">
        <f>M125/M126</f>
        <v>0.78717867762213156</v>
      </c>
      <c r="G125" s="266"/>
      <c r="H125" s="460"/>
      <c r="I125" s="81"/>
      <c r="J125" s="273" t="s">
        <v>259</v>
      </c>
      <c r="K125" s="81"/>
      <c r="L125" s="274"/>
      <c r="M125" s="462">
        <f>N121</f>
        <v>0.70256098822173763</v>
      </c>
      <c r="N125" s="81"/>
    </row>
    <row r="126" spans="2:14">
      <c r="B126" s="283"/>
      <c r="C126" s="283"/>
      <c r="D126" s="283"/>
      <c r="E126" s="283"/>
      <c r="F126" s="41"/>
      <c r="G126" s="81"/>
      <c r="H126" s="81"/>
      <c r="I126" s="81"/>
      <c r="J126" s="276" t="s">
        <v>260</v>
      </c>
      <c r="K126" s="277"/>
      <c r="L126" s="278"/>
      <c r="M126" s="463">
        <f>M124+M125</f>
        <v>0.89250510486894452</v>
      </c>
      <c r="N126" s="81"/>
    </row>
    <row r="127" spans="2:14"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</row>
    <row r="129" spans="2:14" ht="18.75">
      <c r="B129" s="31" t="s">
        <v>268</v>
      </c>
      <c r="C129" s="32"/>
      <c r="D129" s="32"/>
      <c r="E129" s="32"/>
      <c r="F129" s="32"/>
      <c r="G129" s="33"/>
      <c r="H129" s="33"/>
      <c r="I129" s="34"/>
      <c r="J129" s="34"/>
      <c r="K129" s="34"/>
      <c r="L129" s="34"/>
      <c r="M129" s="34"/>
      <c r="N129" s="34"/>
    </row>
    <row r="131" spans="2:14">
      <c r="B131" s="41"/>
      <c r="C131" s="41"/>
      <c r="D131" s="491" t="s">
        <v>269</v>
      </c>
      <c r="E131" s="491"/>
      <c r="F131" s="491"/>
      <c r="G131" s="491"/>
      <c r="H131" s="491"/>
      <c r="I131" s="41"/>
      <c r="J131" s="41"/>
    </row>
    <row r="132" spans="2:14" ht="15" customHeight="1">
      <c r="B132" s="41"/>
      <c r="C132" s="41"/>
      <c r="D132" s="446"/>
      <c r="E132" s="447"/>
      <c r="F132" s="447"/>
      <c r="G132" s="447"/>
      <c r="H132" s="447"/>
      <c r="I132" s="41"/>
      <c r="J132" s="41"/>
    </row>
    <row r="133" spans="2:14">
      <c r="B133" s="41"/>
      <c r="C133" s="490" t="s">
        <v>199</v>
      </c>
      <c r="D133" s="490"/>
      <c r="E133" s="490"/>
      <c r="F133" s="490"/>
      <c r="G133" s="490"/>
      <c r="H133" s="490"/>
      <c r="I133" s="41"/>
      <c r="J133" s="41"/>
    </row>
    <row r="134" spans="2:14">
      <c r="B134" s="489" t="s">
        <v>195</v>
      </c>
      <c r="C134" s="285">
        <f>M88</f>
        <v>0.89308706569057894</v>
      </c>
      <c r="D134" s="286">
        <f>+E134-0.0025</f>
        <v>2.2500000000000003E-2</v>
      </c>
      <c r="E134" s="286">
        <f>+F134-0.0025</f>
        <v>2.5000000000000001E-2</v>
      </c>
      <c r="F134" s="295">
        <v>2.75E-2</v>
      </c>
      <c r="G134" s="286">
        <f>+F134+0.0025</f>
        <v>0.03</v>
      </c>
      <c r="H134" s="286">
        <f>+G134+0.0025</f>
        <v>3.2500000000000001E-2</v>
      </c>
      <c r="I134" s="41"/>
      <c r="J134" s="41"/>
    </row>
    <row r="135" spans="2:14">
      <c r="B135" s="489"/>
      <c r="C135" s="287">
        <f>+C136+0.005</f>
        <v>0.10100000000000001</v>
      </c>
      <c r="D135" s="292">
        <f t="dataTable" ref="D135:H139" dt2D="1" dtr="1" r1="D61" r2="D60"/>
        <v>0.71805240968403572</v>
      </c>
      <c r="E135" s="293">
        <v>0.73554769558838062</v>
      </c>
      <c r="F135" s="293">
        <v>0.7542331369964228</v>
      </c>
      <c r="G135" s="293">
        <v>0.77423445455996065</v>
      </c>
      <c r="H135" s="293">
        <v>0.79569572231061825</v>
      </c>
      <c r="I135" s="41"/>
      <c r="J135" s="41"/>
    </row>
    <row r="136" spans="2:14">
      <c r="B136" s="489"/>
      <c r="C136" s="287">
        <f>+C137+0.005</f>
        <v>9.6000000000000002E-2</v>
      </c>
      <c r="D136" s="293">
        <v>0.76727232339227625</v>
      </c>
      <c r="E136" s="293">
        <v>0.78766355148960598</v>
      </c>
      <c r="F136" s="293">
        <v>0.80954319039695988</v>
      </c>
      <c r="G136" s="293">
        <v>0.83308037770638599</v>
      </c>
      <c r="H136" s="293">
        <v>0.8584708868512001</v>
      </c>
      <c r="I136" s="41"/>
      <c r="J136" s="41"/>
    </row>
    <row r="137" spans="2:14" ht="15" customHeight="1">
      <c r="B137" s="489"/>
      <c r="C137" s="296">
        <v>9.0999999999999998E-2</v>
      </c>
      <c r="D137" s="293">
        <v>0.82371618539880598</v>
      </c>
      <c r="E137" s="293">
        <v>0.84771433079531477</v>
      </c>
      <c r="F137" s="294">
        <v>0.87360209393958033</v>
      </c>
      <c r="G137" s="293">
        <v>0.9016118048825561</v>
      </c>
      <c r="H137" s="293">
        <v>0.93201550821382073</v>
      </c>
      <c r="I137" s="41"/>
      <c r="J137" s="41"/>
    </row>
    <row r="138" spans="2:14">
      <c r="B138" s="489"/>
      <c r="C138" s="287">
        <f>+C137-0.005</f>
        <v>8.5999999999999993E-2</v>
      </c>
      <c r="D138" s="293">
        <v>0.88909141321517482</v>
      </c>
      <c r="E138" s="293">
        <v>0.91765221763646587</v>
      </c>
      <c r="F138" s="293">
        <v>0.94865411645273912</v>
      </c>
      <c r="G138" s="293">
        <v>0.98242404194903665</v>
      </c>
      <c r="H138" s="293">
        <v>1.0193500352487266</v>
      </c>
      <c r="I138" s="41"/>
      <c r="J138" s="41"/>
    </row>
    <row r="139" spans="2:14">
      <c r="B139" s="489"/>
      <c r="C139" s="287">
        <f>+C138-0.005</f>
        <v>8.0999999999999989E-2</v>
      </c>
      <c r="D139" s="293">
        <v>0.96568918641773238</v>
      </c>
      <c r="E139" s="293">
        <v>1.0001266343384256</v>
      </c>
      <c r="F139" s="293">
        <v>1.0377825353358192</v>
      </c>
      <c r="G139" s="293">
        <v>1.0791301913329572</v>
      </c>
      <c r="H139" s="293">
        <v>1.1247404922782538</v>
      </c>
      <c r="I139" s="41"/>
      <c r="J139" s="41"/>
    </row>
    <row r="140" spans="2:14">
      <c r="B140" s="455"/>
      <c r="C140" s="41"/>
      <c r="D140" s="41"/>
      <c r="E140" s="41"/>
      <c r="F140" s="41"/>
      <c r="G140" s="41"/>
      <c r="H140" s="41"/>
      <c r="I140" s="41"/>
      <c r="J140" s="41"/>
    </row>
    <row r="141" spans="2:14">
      <c r="B141" s="41"/>
      <c r="C141" s="41"/>
      <c r="D141" s="41"/>
      <c r="E141" s="41"/>
      <c r="F141" s="41"/>
      <c r="G141" s="41"/>
      <c r="H141" s="41"/>
      <c r="I141" s="41"/>
      <c r="J141" s="41"/>
    </row>
    <row r="142" spans="2:14">
      <c r="B142" s="41"/>
      <c r="C142" s="41"/>
      <c r="D142" s="491" t="s">
        <v>269</v>
      </c>
      <c r="E142" s="491"/>
      <c r="F142" s="491"/>
      <c r="G142" s="491"/>
      <c r="H142" s="491"/>
      <c r="I142" s="41"/>
      <c r="J142" s="41"/>
    </row>
    <row r="143" spans="2:14" ht="15" customHeight="1">
      <c r="B143" s="41"/>
      <c r="C143" s="41"/>
      <c r="D143" s="446"/>
      <c r="E143" s="447"/>
      <c r="F143" s="447"/>
      <c r="G143" s="447"/>
      <c r="H143" s="447"/>
      <c r="I143" s="41"/>
      <c r="J143" s="41"/>
    </row>
    <row r="144" spans="2:14">
      <c r="B144" s="41"/>
      <c r="C144" s="41"/>
      <c r="D144" s="490" t="s">
        <v>202</v>
      </c>
      <c r="E144" s="490"/>
      <c r="F144" s="490"/>
      <c r="G144" s="490"/>
      <c r="H144" s="490"/>
      <c r="I144" s="41"/>
      <c r="J144" s="41"/>
    </row>
    <row r="145" spans="2:10">
      <c r="B145" s="489" t="s">
        <v>195</v>
      </c>
      <c r="C145" s="289">
        <f>M126</f>
        <v>0.89250510486894452</v>
      </c>
      <c r="D145" s="290">
        <f>+E145-0.1</f>
        <v>1.0599999999999998</v>
      </c>
      <c r="E145" s="290">
        <f>+F145-0.1</f>
        <v>1.1599999999999999</v>
      </c>
      <c r="F145" s="291">
        <v>1.26</v>
      </c>
      <c r="G145" s="290">
        <f>F145+0.1</f>
        <v>1.36</v>
      </c>
      <c r="H145" s="290">
        <f>G145+0.1</f>
        <v>1.4600000000000002</v>
      </c>
      <c r="I145" s="41"/>
      <c r="J145" s="41"/>
    </row>
    <row r="146" spans="2:10">
      <c r="B146" s="489"/>
      <c r="C146" s="287">
        <f>+C147+0.005</f>
        <v>0.10100000000000001</v>
      </c>
      <c r="D146" s="292">
        <f t="dataTable" ref="D146:H150" dt2D="1" dtr="1" r1="D96" r2="D95"/>
        <v>0.68608514756663885</v>
      </c>
      <c r="E146" s="293">
        <v>0.73326537960988925</v>
      </c>
      <c r="F146" s="293">
        <v>0.78044561165313975</v>
      </c>
      <c r="G146" s="293">
        <v>0.82762584369639025</v>
      </c>
      <c r="H146" s="293">
        <v>0.87480607573964075</v>
      </c>
      <c r="I146" s="41"/>
      <c r="J146" s="41"/>
    </row>
    <row r="147" spans="2:10">
      <c r="B147" s="489"/>
      <c r="C147" s="287">
        <f>+C148+0.005</f>
        <v>9.6000000000000002E-2</v>
      </c>
      <c r="D147" s="293">
        <v>0.70012615178946624</v>
      </c>
      <c r="E147" s="293">
        <v>0.74844556090693026</v>
      </c>
      <c r="F147" s="293">
        <v>0.79676497002439439</v>
      </c>
      <c r="G147" s="293">
        <v>0.84508437914185852</v>
      </c>
      <c r="H147" s="293">
        <v>0.89340378825932265</v>
      </c>
      <c r="I147" s="41"/>
      <c r="J147" s="41"/>
    </row>
    <row r="148" spans="2:10">
      <c r="B148" s="489"/>
      <c r="C148" s="288">
        <v>9.0999999999999998E-2</v>
      </c>
      <c r="D148" s="293">
        <v>0.71455391809602331</v>
      </c>
      <c r="E148" s="293">
        <v>0.76404540879874183</v>
      </c>
      <c r="F148" s="294">
        <v>0.81353689950146046</v>
      </c>
      <c r="G148" s="293">
        <v>0.8630283902041791</v>
      </c>
      <c r="H148" s="293">
        <v>0.91251988090689762</v>
      </c>
      <c r="I148" s="41"/>
      <c r="J148" s="41"/>
    </row>
    <row r="149" spans="2:10">
      <c r="B149" s="489"/>
      <c r="C149" s="287">
        <f>+C148-0.005</f>
        <v>8.5999999999999993E-2</v>
      </c>
      <c r="D149" s="293">
        <v>0.72938115200071363</v>
      </c>
      <c r="E149" s="293">
        <v>0.78007873661852511</v>
      </c>
      <c r="F149" s="293">
        <v>0.83077632123633682</v>
      </c>
      <c r="G149" s="293">
        <v>0.88147390585414842</v>
      </c>
      <c r="H149" s="293">
        <v>0.93217149047196002</v>
      </c>
      <c r="I149" s="41"/>
      <c r="J149" s="41"/>
    </row>
    <row r="150" spans="2:10">
      <c r="B150" s="489"/>
      <c r="C150" s="287">
        <f>+C149-0.005</f>
        <v>8.0999999999999989E-2</v>
      </c>
      <c r="D150" s="293">
        <v>0.74462104078309976</v>
      </c>
      <c r="E150" s="293">
        <v>0.79655988211070905</v>
      </c>
      <c r="F150" s="293">
        <v>0.84849872343831834</v>
      </c>
      <c r="G150" s="293">
        <v>0.90043756476592773</v>
      </c>
      <c r="H150" s="293">
        <v>0.95237640609353713</v>
      </c>
      <c r="I150" s="41"/>
      <c r="J150" s="41"/>
    </row>
  </sheetData>
  <mergeCells count="8">
    <mergeCell ref="J85:M85"/>
    <mergeCell ref="J123:M123"/>
    <mergeCell ref="B134:B139"/>
    <mergeCell ref="B145:B150"/>
    <mergeCell ref="D144:H144"/>
    <mergeCell ref="C133:H133"/>
    <mergeCell ref="D142:H142"/>
    <mergeCell ref="D131:H131"/>
  </mergeCells>
  <pageMargins left="0.7" right="0.7" top="0.75" bottom="0.75" header="0.3" footer="0.3"/>
  <ignoredErrors>
    <ignoredError sqref="G33:N34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D1E52-CB92-4FEC-9D40-56B9B2A9A0E1}">
  <dimension ref="B2:O90"/>
  <sheetViews>
    <sheetView showGridLines="0" zoomScale="115" zoomScaleNormal="115" workbookViewId="0">
      <selection activeCell="Q14" sqref="Q14"/>
    </sheetView>
  </sheetViews>
  <sheetFormatPr defaultRowHeight="12.75"/>
  <cols>
    <col min="1" max="16384" width="9.140625" style="152"/>
  </cols>
  <sheetData>
    <row r="2" spans="2:14" ht="16.5" customHeight="1">
      <c r="B2" s="356" t="s">
        <v>210</v>
      </c>
      <c r="C2" s="158"/>
      <c r="D2" s="158"/>
      <c r="E2" s="158"/>
      <c r="F2" s="158"/>
      <c r="G2" s="159"/>
      <c r="H2" s="159"/>
      <c r="I2" s="160"/>
      <c r="J2" s="160"/>
      <c r="K2" s="160"/>
      <c r="L2" s="160"/>
      <c r="M2" s="160"/>
      <c r="N2" s="160"/>
    </row>
    <row r="4" spans="2:14">
      <c r="B4" s="154" t="s">
        <v>10</v>
      </c>
      <c r="C4" s="155"/>
      <c r="D4" s="155"/>
      <c r="E4" s="155"/>
      <c r="F4" s="156">
        <v>2023</v>
      </c>
      <c r="G4" s="156">
        <f>+F4+1</f>
        <v>2024</v>
      </c>
      <c r="H4" s="156">
        <f t="shared" ref="H4:M4" si="0">+G4+1</f>
        <v>2025</v>
      </c>
      <c r="I4" s="157">
        <f t="shared" si="0"/>
        <v>2026</v>
      </c>
      <c r="J4" s="157">
        <f t="shared" si="0"/>
        <v>2027</v>
      </c>
      <c r="K4" s="157">
        <f t="shared" si="0"/>
        <v>2028</v>
      </c>
      <c r="L4" s="157">
        <f t="shared" si="0"/>
        <v>2029</v>
      </c>
      <c r="M4" s="157">
        <f t="shared" si="0"/>
        <v>2030</v>
      </c>
      <c r="N4" s="176" t="s">
        <v>230</v>
      </c>
    </row>
    <row r="5" spans="2:14" ht="12.75" customHeight="1"/>
    <row r="6" spans="2:14" ht="12.75" customHeight="1">
      <c r="B6" s="152" t="s">
        <v>103</v>
      </c>
      <c r="F6" s="164">
        <f>'Financial Model'!F75</f>
        <v>5518</v>
      </c>
      <c r="G6" s="164">
        <f>'Financial Model'!G75</f>
        <v>4477</v>
      </c>
      <c r="H6" s="164">
        <f>'Financial Model'!H75</f>
        <v>4757</v>
      </c>
      <c r="I6" s="164">
        <f>'Financial Model'!I75</f>
        <v>5315.6399596719966</v>
      </c>
      <c r="J6" s="164">
        <f>'Financial Model'!J75</f>
        <v>5070.549656762696</v>
      </c>
      <c r="K6" s="164">
        <f>'Financial Model'!K75</f>
        <v>5533.0978299444314</v>
      </c>
      <c r="L6" s="164">
        <f>'Financial Model'!L75</f>
        <v>5795.9377583169016</v>
      </c>
      <c r="M6" s="164">
        <f>'Financial Model'!M75</f>
        <v>6470.7531615147091</v>
      </c>
      <c r="N6" s="165">
        <f>M6*(1+N7)</f>
        <v>6660.0888086524028</v>
      </c>
    </row>
    <row r="7" spans="2:14" ht="13.5" customHeight="1">
      <c r="B7" s="153" t="s">
        <v>211</v>
      </c>
      <c r="F7" s="201" t="str">
        <f>IFERROR(F6/E6-1,"N/A")</f>
        <v>N/A</v>
      </c>
      <c r="G7" s="162">
        <f>IFERROR(G6/F6-1,"NA")</f>
        <v>-0.18865530989488943</v>
      </c>
      <c r="H7" s="162">
        <f t="shared" ref="H7:M7" si="1">IFERROR(H6/G6-1,"NA")</f>
        <v>6.2541880723698817E-2</v>
      </c>
      <c r="I7" s="162">
        <f t="shared" si="1"/>
        <v>0.11743534994155902</v>
      </c>
      <c r="J7" s="162">
        <f t="shared" si="1"/>
        <v>-4.6107393421811804E-2</v>
      </c>
      <c r="K7" s="162">
        <f t="shared" si="1"/>
        <v>9.1222491542869655E-2</v>
      </c>
      <c r="L7" s="162">
        <f t="shared" si="1"/>
        <v>4.7503213651855836E-2</v>
      </c>
      <c r="M7" s="162">
        <f t="shared" si="1"/>
        <v>0.11642902862948779</v>
      </c>
      <c r="N7" s="198">
        <f>'Inputs &amp; Assumptions'!H20</f>
        <v>2.9260217846630479E-2</v>
      </c>
    </row>
    <row r="8" spans="2:14">
      <c r="B8" s="152" t="s">
        <v>212</v>
      </c>
      <c r="F8" s="164">
        <f>'Financial Model'!F77</f>
        <v>1651</v>
      </c>
      <c r="G8" s="164">
        <f>'Financial Model'!G77</f>
        <v>1828</v>
      </c>
      <c r="H8" s="164">
        <f>'Financial Model'!H77</f>
        <v>2000</v>
      </c>
      <c r="I8" s="164">
        <f>'Financial Model'!I77</f>
        <v>2126.2559838687989</v>
      </c>
      <c r="J8" s="164">
        <f>'Financial Model'!J77</f>
        <v>2129.6308558403321</v>
      </c>
      <c r="K8" s="164">
        <f>'Financial Model'!K77</f>
        <v>2489.8940234749944</v>
      </c>
      <c r="L8" s="164">
        <f>'Financial Model'!L77</f>
        <v>2608.1719912426056</v>
      </c>
      <c r="M8" s="164">
        <f>'Financial Model'!M77</f>
        <v>2911.8389226816194</v>
      </c>
      <c r="N8" s="165">
        <f>'Valuation – DDM'!N11</f>
        <v>2997.0399638935814</v>
      </c>
    </row>
    <row r="9" spans="2:14">
      <c r="B9" s="153" t="s">
        <v>213</v>
      </c>
      <c r="F9" s="202" t="str">
        <f>IFERROR('Financial Model'!F77/'Financial Model'!E77-1,"N/A")</f>
        <v>N/A</v>
      </c>
      <c r="G9" s="161">
        <f>IFERROR('Financial Model'!G77/'Financial Model'!F77-1,"NA")</f>
        <v>0.10720775287704432</v>
      </c>
      <c r="H9" s="161">
        <f>IFERROR('Financial Model'!H77/'Financial Model'!G77-1,"NA")</f>
        <v>9.4091903719912384E-2</v>
      </c>
      <c r="I9" s="161">
        <f>IFERROR('Financial Model'!I77/'Financial Model'!H77-1,"NA")</f>
        <v>6.3127991934399441E-2</v>
      </c>
      <c r="J9" s="161">
        <f>IFERROR('Financial Model'!J77/'Financial Model'!I77-1,"NA")</f>
        <v>1.587236907097278E-3</v>
      </c>
      <c r="K9" s="161">
        <f>IFERROR('Financial Model'!K77/'Financial Model'!J77-1,"NA")</f>
        <v>0.16916695522450342</v>
      </c>
      <c r="L9" s="161">
        <f>IFERROR('Financial Model'!L77/'Financial Model'!K77-1,"NA")</f>
        <v>4.7503213651855614E-2</v>
      </c>
      <c r="M9" s="161">
        <f>IFERROR('Financial Model'!M77/'Financial Model'!L77-1,"NA")</f>
        <v>0.11642902862948779</v>
      </c>
      <c r="N9" s="198">
        <f>'Inputs &amp; Assumptions'!H20</f>
        <v>2.9260217846630479E-2</v>
      </c>
    </row>
    <row r="10" spans="2:14">
      <c r="B10" s="152" t="s">
        <v>66</v>
      </c>
      <c r="F10" s="164">
        <f>'Financial Model'!F78</f>
        <v>1710</v>
      </c>
      <c r="G10" s="164">
        <f>'Financial Model'!G78</f>
        <v>2011</v>
      </c>
      <c r="H10" s="164">
        <f>'Financial Model'!H78</f>
        <v>1993</v>
      </c>
      <c r="I10" s="164">
        <f>'Financial Model'!I78</f>
        <v>1692.0301999999938</v>
      </c>
      <c r="J10" s="164">
        <f>'Financial Model'!J78</f>
        <v>1526.4218518031994</v>
      </c>
      <c r="K10" s="164">
        <f>'Financial Model'!K78</f>
        <v>1915.0728734335644</v>
      </c>
      <c r="L10" s="164">
        <f>'Financial Model'!L78</f>
        <v>3026.3771006840907</v>
      </c>
      <c r="M10" s="164">
        <f>'Financial Model'!M78</f>
        <v>3362.7220769377527</v>
      </c>
      <c r="N10" s="165">
        <f>M10*(1+N11)</f>
        <v>3461.1160574666255</v>
      </c>
    </row>
    <row r="11" spans="2:14">
      <c r="B11" s="153" t="s">
        <v>244</v>
      </c>
      <c r="F11" s="202" t="str">
        <f>IFERROR('Financial Model'!F78/'Financial Model'!E78-1,"N/A")</f>
        <v>N/A</v>
      </c>
      <c r="G11" s="161">
        <f>IFERROR('Financial Model'!G78/'Financial Model'!F78-1,"NA")</f>
        <v>0.17602339181286553</v>
      </c>
      <c r="H11" s="161">
        <f>IFERROR('Financial Model'!H78/'Financial Model'!G78-1,"NA")</f>
        <v>-8.9507707608155185E-3</v>
      </c>
      <c r="I11" s="161">
        <f>IFERROR('Financial Model'!I78/'Financial Model'!H78-1,"NA")</f>
        <v>-0.15101344706472963</v>
      </c>
      <c r="J11" s="161">
        <f>IFERROR('Financial Model'!J78/'Financial Model'!I78-1,"NA")</f>
        <v>-9.7875527397084827E-2</v>
      </c>
      <c r="K11" s="161">
        <f>IFERROR('Financial Model'!K78/'Financial Model'!J78-1,"NA")</f>
        <v>0.25461573494328715</v>
      </c>
      <c r="L11" s="161">
        <f>IFERROR('Financial Model'!L78/'Financial Model'!K78-1,"NA")</f>
        <v>0.58029344087468138</v>
      </c>
      <c r="M11" s="161">
        <f>IFERROR('Financial Model'!M78/'Financial Model'!L78-1,"NA")</f>
        <v>0.11113782752903911</v>
      </c>
      <c r="N11" s="198">
        <f>'Inputs &amp; Assumptions'!H20</f>
        <v>2.9260217846630479E-2</v>
      </c>
    </row>
    <row r="12" spans="2:14">
      <c r="B12" s="153" t="s">
        <v>215</v>
      </c>
      <c r="F12" s="199">
        <f>('Financial Model'!F250+'Financial Model'!F251)/'Financial Model'!F249</f>
        <v>0.66038419717288876</v>
      </c>
      <c r="G12" s="199">
        <f>('Financial Model'!G250+'Financial Model'!G251)/'Financial Model'!G249</f>
        <v>0.85749385749385754</v>
      </c>
      <c r="H12" s="199">
        <f>('Financial Model'!H250+'Financial Model'!H251)/'Financial Model'!H249</f>
        <v>0.83939457641370607</v>
      </c>
      <c r="I12" s="200">
        <f>('Financial Model'!I250+'Financial Model'!I251)/'Financial Model'!I249</f>
        <v>0.71831166385174083</v>
      </c>
      <c r="J12" s="200">
        <f>('Financial Model'!J250+'Financial Model'!J251)/'Financial Model'!J249</f>
        <v>0.72103676230985703</v>
      </c>
      <c r="K12" s="200">
        <f>('Financial Model'!K250+'Financial Model'!K251)/'Financial Model'!K249</f>
        <v>0.79611223807926013</v>
      </c>
      <c r="L12" s="199">
        <f>('Financial Model'!L250+'Financial Model'!L251)/'Financial Model'!L249</f>
        <v>0.97215486550754959</v>
      </c>
      <c r="M12" s="199">
        <f>('Financial Model'!M250+'Financial Model'!M251)/'Financial Model'!M249</f>
        <v>0.9696801659716825</v>
      </c>
      <c r="N12" s="203">
        <f>(N8+N10)/N6</f>
        <v>0.9696801659716825</v>
      </c>
    </row>
    <row r="14" spans="2:14" ht="15">
      <c r="B14" s="27" t="s">
        <v>216</v>
      </c>
      <c r="N14" s="165"/>
    </row>
    <row r="15" spans="2:14">
      <c r="B15" s="163" t="s">
        <v>217</v>
      </c>
      <c r="F15" s="165">
        <f>F19-F18-F17-F16</f>
        <v>38077</v>
      </c>
      <c r="G15" s="165">
        <f>F19</f>
        <v>40234</v>
      </c>
      <c r="H15" s="165">
        <f t="shared" ref="H15:M15" si="2">G19</f>
        <v>40872</v>
      </c>
      <c r="I15" s="165">
        <f t="shared" si="2"/>
        <v>41636</v>
      </c>
      <c r="J15" s="165">
        <f t="shared" si="2"/>
        <v>43133.353775803211</v>
      </c>
      <c r="K15" s="165">
        <f t="shared" si="2"/>
        <v>44547.850724922377</v>
      </c>
      <c r="L15" s="165">
        <f t="shared" si="2"/>
        <v>45675.981657958248</v>
      </c>
      <c r="M15" s="165">
        <f t="shared" si="2"/>
        <v>45837.370324348456</v>
      </c>
      <c r="N15" s="165">
        <f t="shared" ref="N15" si="3">M19</f>
        <v>46033.562486243791</v>
      </c>
    </row>
    <row r="16" spans="2:14">
      <c r="B16" s="163" t="s">
        <v>218</v>
      </c>
      <c r="F16" s="165">
        <f>F6</f>
        <v>5518</v>
      </c>
      <c r="G16" s="165">
        <f t="shared" ref="G16:M16" si="4">G6</f>
        <v>4477</v>
      </c>
      <c r="H16" s="165">
        <f t="shared" si="4"/>
        <v>4757</v>
      </c>
      <c r="I16" s="165">
        <f t="shared" si="4"/>
        <v>5315.6399596719966</v>
      </c>
      <c r="J16" s="165">
        <f t="shared" si="4"/>
        <v>5070.549656762696</v>
      </c>
      <c r="K16" s="165">
        <f t="shared" si="4"/>
        <v>5533.0978299444314</v>
      </c>
      <c r="L16" s="165">
        <f t="shared" si="4"/>
        <v>5795.9377583169016</v>
      </c>
      <c r="M16" s="165">
        <f t="shared" si="4"/>
        <v>6470.7531615147091</v>
      </c>
      <c r="N16" s="165">
        <f t="shared" ref="N16" si="5">N6</f>
        <v>6660.0888086524028</v>
      </c>
    </row>
    <row r="17" spans="2:15">
      <c r="B17" s="163" t="s">
        <v>212</v>
      </c>
      <c r="F17" s="165">
        <f>-F8</f>
        <v>-1651</v>
      </c>
      <c r="G17" s="165">
        <f t="shared" ref="G17:N17" si="6">-G8</f>
        <v>-1828</v>
      </c>
      <c r="H17" s="165">
        <f t="shared" si="6"/>
        <v>-2000</v>
      </c>
      <c r="I17" s="165">
        <f t="shared" si="6"/>
        <v>-2126.2559838687989</v>
      </c>
      <c r="J17" s="165">
        <f t="shared" si="6"/>
        <v>-2129.6308558403321</v>
      </c>
      <c r="K17" s="165">
        <f t="shared" si="6"/>
        <v>-2489.8940234749944</v>
      </c>
      <c r="L17" s="165">
        <f t="shared" si="6"/>
        <v>-2608.1719912426056</v>
      </c>
      <c r="M17" s="165">
        <f t="shared" si="6"/>
        <v>-2911.8389226816194</v>
      </c>
      <c r="N17" s="165">
        <f t="shared" si="6"/>
        <v>-2997.0399638935814</v>
      </c>
    </row>
    <row r="18" spans="2:15">
      <c r="B18" s="163" t="s">
        <v>66</v>
      </c>
      <c r="F18" s="165">
        <f>-F10</f>
        <v>-1710</v>
      </c>
      <c r="G18" s="165">
        <f t="shared" ref="G18:N18" si="7">-G10</f>
        <v>-2011</v>
      </c>
      <c r="H18" s="165">
        <f t="shared" si="7"/>
        <v>-1993</v>
      </c>
      <c r="I18" s="165">
        <f t="shared" si="7"/>
        <v>-1692.0301999999938</v>
      </c>
      <c r="J18" s="165">
        <f t="shared" si="7"/>
        <v>-1526.4218518031994</v>
      </c>
      <c r="K18" s="165">
        <f t="shared" si="7"/>
        <v>-1915.0728734335644</v>
      </c>
      <c r="L18" s="165">
        <f t="shared" si="7"/>
        <v>-3026.3771006840907</v>
      </c>
      <c r="M18" s="165">
        <f t="shared" si="7"/>
        <v>-3362.7220769377527</v>
      </c>
      <c r="N18" s="165">
        <f t="shared" si="7"/>
        <v>-3461.1160574666255</v>
      </c>
    </row>
    <row r="19" spans="2:15">
      <c r="B19" s="163" t="s">
        <v>127</v>
      </c>
      <c r="F19" s="164">
        <f>'Financial Model'!F36</f>
        <v>40234</v>
      </c>
      <c r="G19" s="165">
        <f>SUM(G15:G18)</f>
        <v>40872</v>
      </c>
      <c r="H19" s="165">
        <f t="shared" ref="H19:N19" si="8">SUM(H15:H18)</f>
        <v>41636</v>
      </c>
      <c r="I19" s="165">
        <f t="shared" si="8"/>
        <v>43133.353775803211</v>
      </c>
      <c r="J19" s="165">
        <f t="shared" si="8"/>
        <v>44547.850724922377</v>
      </c>
      <c r="K19" s="165">
        <f t="shared" si="8"/>
        <v>45675.981657958248</v>
      </c>
      <c r="L19" s="165">
        <f t="shared" si="8"/>
        <v>45837.370324348456</v>
      </c>
      <c r="M19" s="165">
        <f t="shared" si="8"/>
        <v>46033.562486243791</v>
      </c>
      <c r="N19" s="165">
        <f t="shared" si="8"/>
        <v>46235.495273535984</v>
      </c>
    </row>
    <row r="20" spans="2:15">
      <c r="B20" s="39" t="s">
        <v>369</v>
      </c>
      <c r="C20" s="41"/>
      <c r="D20" s="41"/>
      <c r="E20" s="41"/>
      <c r="F20" s="448">
        <v>-31</v>
      </c>
      <c r="G20" s="448">
        <v>646</v>
      </c>
      <c r="H20" s="448">
        <v>-198</v>
      </c>
      <c r="I20" s="448">
        <v>0</v>
      </c>
      <c r="J20" s="448">
        <v>0</v>
      </c>
      <c r="K20" s="448">
        <v>0</v>
      </c>
      <c r="L20" s="448">
        <v>0</v>
      </c>
      <c r="M20" s="448">
        <v>0</v>
      </c>
      <c r="N20" s="475">
        <v>0</v>
      </c>
    </row>
    <row r="21" spans="2:15">
      <c r="B21" s="39" t="s">
        <v>368</v>
      </c>
      <c r="C21" s="41"/>
      <c r="D21" s="41"/>
      <c r="E21" s="41"/>
      <c r="F21" s="211">
        <f>-'Financial Model'!F16</f>
        <v>-8306</v>
      </c>
      <c r="G21" s="211">
        <f>-'Financial Model'!G16</f>
        <v>-8188</v>
      </c>
      <c r="H21" s="211">
        <f>-'Financial Model'!H16</f>
        <v>-8593</v>
      </c>
      <c r="I21" s="211">
        <f>-'Financial Model'!I16</f>
        <v>-8500</v>
      </c>
      <c r="J21" s="211">
        <f>-'Financial Model'!J16</f>
        <v>-8500</v>
      </c>
      <c r="K21" s="211">
        <f>-'Financial Model'!K16</f>
        <v>-8500</v>
      </c>
      <c r="L21" s="211">
        <f>-'Financial Model'!L16</f>
        <v>-9000</v>
      </c>
      <c r="M21" s="211">
        <f>-'Financial Model'!M16</f>
        <v>-9500</v>
      </c>
      <c r="N21" s="298">
        <v>-10000</v>
      </c>
    </row>
    <row r="22" spans="2:15">
      <c r="B22" s="41" t="s">
        <v>219</v>
      </c>
      <c r="C22" s="41"/>
      <c r="D22" s="41"/>
      <c r="E22" s="41"/>
      <c r="F22" s="170">
        <f t="shared" ref="F22:N22" si="9">F19+F21+F20</f>
        <v>31897</v>
      </c>
      <c r="G22" s="170">
        <f t="shared" si="9"/>
        <v>33330</v>
      </c>
      <c r="H22" s="170">
        <f t="shared" si="9"/>
        <v>32845</v>
      </c>
      <c r="I22" s="170">
        <f t="shared" si="9"/>
        <v>34633.353775803211</v>
      </c>
      <c r="J22" s="170">
        <f t="shared" si="9"/>
        <v>36047.850724922377</v>
      </c>
      <c r="K22" s="170">
        <f t="shared" si="9"/>
        <v>37175.981657958248</v>
      </c>
      <c r="L22" s="170">
        <f t="shared" si="9"/>
        <v>36837.370324348456</v>
      </c>
      <c r="M22" s="170">
        <f t="shared" si="9"/>
        <v>36533.562486243791</v>
      </c>
      <c r="N22" s="170">
        <f t="shared" si="9"/>
        <v>36235.495273535984</v>
      </c>
      <c r="O22" s="168"/>
    </row>
    <row r="24" spans="2:15">
      <c r="B24" s="171" t="s">
        <v>220</v>
      </c>
      <c r="C24" s="171"/>
      <c r="D24" s="171"/>
      <c r="E24" s="171"/>
      <c r="F24" s="172" t="s">
        <v>221</v>
      </c>
      <c r="G24" s="301">
        <f t="shared" ref="G24:N24" si="10">G16/G15</f>
        <v>0.11127404682606751</v>
      </c>
      <c r="H24" s="301">
        <f t="shared" si="10"/>
        <v>0.11638774711293795</v>
      </c>
      <c r="I24" s="301">
        <f t="shared" si="10"/>
        <v>0.1276693236543375</v>
      </c>
      <c r="J24" s="301">
        <f t="shared" si="10"/>
        <v>0.11755519135187568</v>
      </c>
      <c r="K24" s="301">
        <f t="shared" si="10"/>
        <v>0.12420571901685326</v>
      </c>
      <c r="L24" s="301">
        <f t="shared" si="10"/>
        <v>0.12689246181328781</v>
      </c>
      <c r="M24" s="301">
        <f t="shared" si="10"/>
        <v>0.14116763496088899</v>
      </c>
      <c r="N24" s="301">
        <f t="shared" si="10"/>
        <v>0.14467897874822608</v>
      </c>
    </row>
    <row r="25" spans="2:15">
      <c r="B25" s="171" t="s">
        <v>195</v>
      </c>
      <c r="C25" s="171"/>
      <c r="D25" s="171"/>
      <c r="E25" s="171"/>
      <c r="F25" s="172" t="s">
        <v>221</v>
      </c>
      <c r="G25" s="302" t="s">
        <v>221</v>
      </c>
      <c r="H25" s="302" t="s">
        <v>221</v>
      </c>
      <c r="I25" s="303">
        <f>[1]Inputs!$H$12</f>
        <v>9.0999999999999998E-2</v>
      </c>
      <c r="J25" s="303">
        <f>[1]Inputs!$H$12</f>
        <v>9.0999999999999998E-2</v>
      </c>
      <c r="K25" s="303">
        <f>[1]Inputs!$H$12</f>
        <v>9.0999999999999998E-2</v>
      </c>
      <c r="L25" s="303">
        <f>[1]Inputs!$H$12</f>
        <v>9.0999999999999998E-2</v>
      </c>
      <c r="M25" s="303">
        <f>[1]Inputs!$H$12</f>
        <v>9.0999999999999998E-2</v>
      </c>
      <c r="N25" s="303">
        <f>[1]Inputs!$H$12</f>
        <v>9.0999999999999998E-2</v>
      </c>
    </row>
    <row r="26" spans="2:15">
      <c r="B26" s="41" t="s">
        <v>222</v>
      </c>
      <c r="C26" s="41"/>
      <c r="D26" s="41"/>
      <c r="E26" s="41"/>
      <c r="F26" s="173" t="s">
        <v>221</v>
      </c>
      <c r="G26" s="193" t="s">
        <v>221</v>
      </c>
      <c r="H26" s="193" t="s">
        <v>221</v>
      </c>
      <c r="I26" s="303">
        <f>[1]Inputs!$H$12</f>
        <v>9.0999999999999998E-2</v>
      </c>
      <c r="J26" s="303">
        <f>[1]Inputs!$H$12</f>
        <v>9.0999999999999998E-2</v>
      </c>
      <c r="K26" s="303">
        <f>[1]Inputs!$H$12</f>
        <v>9.0999999999999998E-2</v>
      </c>
      <c r="L26" s="303">
        <f>[1]Inputs!$H$12</f>
        <v>9.0999999999999998E-2</v>
      </c>
      <c r="M26" s="303">
        <f>[1]Inputs!$H$12</f>
        <v>9.0999999999999998E-2</v>
      </c>
      <c r="N26" s="303">
        <f>[1]Inputs!$H$12</f>
        <v>9.0999999999999998E-2</v>
      </c>
    </row>
    <row r="27" spans="2:15">
      <c r="B27" s="41" t="s">
        <v>223</v>
      </c>
      <c r="C27" s="41"/>
      <c r="D27" s="41"/>
      <c r="E27" s="41"/>
      <c r="F27" s="173" t="s">
        <v>221</v>
      </c>
      <c r="G27" s="193" t="s">
        <v>221</v>
      </c>
      <c r="H27" s="193" t="s">
        <v>221</v>
      </c>
      <c r="I27" s="170">
        <f t="shared" ref="I27:N27" si="11">I16-(H19*I26)</f>
        <v>1526.7639596719969</v>
      </c>
      <c r="J27" s="170">
        <f t="shared" si="11"/>
        <v>1145.4144631646041</v>
      </c>
      <c r="K27" s="170">
        <f t="shared" si="11"/>
        <v>1479.243413976495</v>
      </c>
      <c r="L27" s="170">
        <f t="shared" si="11"/>
        <v>1639.4234274427008</v>
      </c>
      <c r="M27" s="170">
        <f t="shared" si="11"/>
        <v>2299.5524619990001</v>
      </c>
      <c r="N27" s="170">
        <f t="shared" si="11"/>
        <v>2471.0346224042178</v>
      </c>
    </row>
    <row r="28" spans="2:15">
      <c r="B28" s="41" t="s">
        <v>224</v>
      </c>
      <c r="C28" s="41"/>
      <c r="D28" s="41"/>
      <c r="E28" s="41"/>
      <c r="F28" s="173" t="s">
        <v>221</v>
      </c>
      <c r="G28" s="193" t="s">
        <v>221</v>
      </c>
      <c r="H28" s="193" t="s">
        <v>221</v>
      </c>
      <c r="I28" s="304">
        <v>0</v>
      </c>
      <c r="J28" s="304">
        <v>0</v>
      </c>
      <c r="K28" s="304">
        <v>0</v>
      </c>
      <c r="L28" s="304">
        <v>0</v>
      </c>
      <c r="M28" s="304">
        <v>0</v>
      </c>
      <c r="N28" s="304">
        <v>0</v>
      </c>
    </row>
    <row r="29" spans="2:15">
      <c r="B29" s="41"/>
      <c r="C29" s="41"/>
      <c r="D29" s="41"/>
      <c r="E29" s="41"/>
      <c r="F29" s="41"/>
      <c r="G29" s="174"/>
      <c r="H29" s="174"/>
      <c r="I29" s="174"/>
      <c r="J29" s="174"/>
      <c r="K29" s="174"/>
      <c r="L29" s="174"/>
      <c r="M29" s="174"/>
      <c r="N29" s="174"/>
    </row>
    <row r="30" spans="2:15">
      <c r="B30" s="41" t="s">
        <v>225</v>
      </c>
      <c r="C30" s="41"/>
      <c r="D30" s="41"/>
      <c r="E30" s="41"/>
      <c r="F30" s="79">
        <v>0.13</v>
      </c>
      <c r="G30" s="79">
        <v>0.13</v>
      </c>
      <c r="H30" s="79">
        <v>0.13</v>
      </c>
      <c r="I30" s="79">
        <v>0.13</v>
      </c>
      <c r="J30" s="79">
        <v>0.13</v>
      </c>
      <c r="K30" s="79">
        <v>0.13</v>
      </c>
      <c r="L30" s="79">
        <v>0.13</v>
      </c>
      <c r="M30" s="79">
        <v>0.13</v>
      </c>
      <c r="N30" s="79">
        <v>0.13</v>
      </c>
    </row>
    <row r="31" spans="2:15">
      <c r="B31" s="41" t="s">
        <v>226</v>
      </c>
      <c r="C31" s="41"/>
      <c r="D31" s="41"/>
      <c r="E31" s="41"/>
      <c r="F31" s="473" t="s">
        <v>221</v>
      </c>
      <c r="G31" s="473" t="s">
        <v>221</v>
      </c>
      <c r="H31" s="473" t="s">
        <v>221</v>
      </c>
      <c r="I31" s="190">
        <f>I34*I30</f>
        <v>41547.314900000005</v>
      </c>
      <c r="J31" s="190">
        <f t="shared" ref="J31:N31" si="12">J34*J30</f>
        <v>42461.355827800005</v>
      </c>
      <c r="K31" s="190">
        <f t="shared" si="12"/>
        <v>46733.6214757048</v>
      </c>
      <c r="L31" s="190">
        <f t="shared" si="12"/>
        <v>47761.761148170306</v>
      </c>
      <c r="M31" s="190">
        <f t="shared" si="12"/>
        <v>48812.519893430064</v>
      </c>
      <c r="N31" s="190">
        <f t="shared" si="12"/>
        <v>50520.958089700107</v>
      </c>
    </row>
    <row r="32" spans="2:15">
      <c r="B32" s="171" t="s">
        <v>227</v>
      </c>
      <c r="C32" s="171"/>
      <c r="D32" s="171"/>
      <c r="E32" s="171"/>
      <c r="F32" s="301">
        <f t="shared" ref="F32:N32" si="13">F22/F34</f>
        <v>0.11276204616961855</v>
      </c>
      <c r="G32" s="301">
        <f t="shared" si="13"/>
        <v>0.11255591070496877</v>
      </c>
      <c r="H32" s="301">
        <f t="shared" si="13"/>
        <v>0.10189646239804925</v>
      </c>
      <c r="I32" s="301">
        <f t="shared" si="13"/>
        <v>0.10836647330136891</v>
      </c>
      <c r="J32" s="301">
        <f t="shared" si="13"/>
        <v>0.1103643655008251</v>
      </c>
      <c r="K32" s="301">
        <f t="shared" si="13"/>
        <v>0.10341329139337123</v>
      </c>
      <c r="L32" s="301">
        <f t="shared" si="13"/>
        <v>0.10026552679472865</v>
      </c>
      <c r="M32" s="301">
        <f t="shared" si="13"/>
        <v>9.7298052499251025E-2</v>
      </c>
      <c r="N32" s="301">
        <f t="shared" si="13"/>
        <v>9.3240796763908715E-2</v>
      </c>
    </row>
    <row r="33" spans="2:14"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</row>
    <row r="34" spans="2:14">
      <c r="B34" s="41" t="s">
        <v>228</v>
      </c>
      <c r="C34" s="41"/>
      <c r="D34" s="41"/>
      <c r="E34" s="41"/>
      <c r="F34" s="166">
        <f>+[1]Model!F120</f>
        <v>282870</v>
      </c>
      <c r="G34" s="166">
        <f>+[1]Model!G120</f>
        <v>296119.5</v>
      </c>
      <c r="H34" s="166">
        <f>+[1]Model!H120</f>
        <v>322337</v>
      </c>
      <c r="I34" s="166">
        <f>+[1]Model!I120</f>
        <v>319594.73000000004</v>
      </c>
      <c r="J34" s="166">
        <f>+[1]Model!J120</f>
        <v>326625.81406</v>
      </c>
      <c r="K34" s="166">
        <f>+[1]Model!K120</f>
        <v>359489.39596696</v>
      </c>
      <c r="L34" s="166">
        <f>+[1]Model!L120</f>
        <v>367398.16267823312</v>
      </c>
      <c r="M34" s="166">
        <f>+[1]Model!M120</f>
        <v>375480.92225715431</v>
      </c>
      <c r="N34" s="167">
        <f>M34*(1+N35)</f>
        <v>388622.75453615468</v>
      </c>
    </row>
    <row r="35" spans="2:14">
      <c r="B35" s="171" t="s">
        <v>229</v>
      </c>
      <c r="C35" s="171"/>
      <c r="D35" s="171"/>
      <c r="E35" s="171"/>
      <c r="F35" s="175" t="str">
        <f>IFERROR(F34/E34-1,"NA")</f>
        <v>NA</v>
      </c>
      <c r="G35" s="175">
        <f>IFERROR(G34/F34-1,"NA")</f>
        <v>4.6839537596775838E-2</v>
      </c>
      <c r="H35" s="175">
        <f t="shared" ref="H35:M35" si="14">IFERROR(H34/G34-1,"NA")</f>
        <v>8.8536891356361114E-2</v>
      </c>
      <c r="I35" s="175">
        <f t="shared" si="14"/>
        <v>-8.5074626865669911E-3</v>
      </c>
      <c r="J35" s="175">
        <f t="shared" si="14"/>
        <v>2.1999999999999797E-2</v>
      </c>
      <c r="K35" s="175">
        <f t="shared" si="14"/>
        <v>0.10061538461538455</v>
      </c>
      <c r="L35" s="175">
        <f t="shared" si="14"/>
        <v>2.200000000000002E-2</v>
      </c>
      <c r="M35" s="175">
        <f t="shared" si="14"/>
        <v>2.2000000000000242E-2</v>
      </c>
      <c r="N35" s="79">
        <v>3.5000000000000003E-2</v>
      </c>
    </row>
    <row r="38" spans="2:14" ht="16.5" customHeight="1">
      <c r="B38" s="356" t="s">
        <v>270</v>
      </c>
      <c r="C38" s="158"/>
      <c r="D38" s="158"/>
      <c r="E38" s="158"/>
      <c r="F38" s="158"/>
      <c r="G38" s="159"/>
      <c r="H38" s="159"/>
      <c r="I38" s="160"/>
      <c r="J38" s="160"/>
      <c r="K38" s="160"/>
      <c r="L38" s="160"/>
      <c r="M38" s="160"/>
      <c r="N38" s="160"/>
    </row>
    <row r="40" spans="2:14" ht="15">
      <c r="B40" s="154" t="s">
        <v>10</v>
      </c>
      <c r="C40" s="155"/>
      <c r="D40" s="155"/>
      <c r="E40" s="155"/>
      <c r="F40" s="62"/>
      <c r="G40" s="62"/>
      <c r="H40" s="227" t="s">
        <v>203</v>
      </c>
      <c r="I40" s="443" t="s">
        <v>246</v>
      </c>
      <c r="J40" s="444"/>
      <c r="K40" s="444"/>
      <c r="L40" s="444"/>
      <c r="M40" s="445"/>
      <c r="N40" s="228" t="s">
        <v>247</v>
      </c>
    </row>
    <row r="41" spans="2:14" ht="15.75">
      <c r="B41" s="125"/>
      <c r="C41" s="125"/>
      <c r="D41" s="125"/>
      <c r="E41" s="125"/>
      <c r="F41" s="62"/>
      <c r="G41" s="62"/>
      <c r="H41" s="226" t="s">
        <v>248</v>
      </c>
      <c r="I41" s="221" t="s">
        <v>248</v>
      </c>
      <c r="J41" s="221" t="s">
        <v>248</v>
      </c>
      <c r="K41" s="221" t="s">
        <v>248</v>
      </c>
      <c r="L41" s="221" t="s">
        <v>248</v>
      </c>
      <c r="M41" s="222" t="s">
        <v>248</v>
      </c>
      <c r="N41" s="222" t="s">
        <v>248</v>
      </c>
    </row>
    <row r="42" spans="2:14" ht="15.75">
      <c r="B42" s="87" t="s">
        <v>195</v>
      </c>
      <c r="C42" s="62"/>
      <c r="D42" s="209">
        <f>'Inputs &amp; Assumptions'!H11</f>
        <v>9.0999999999999998E-2</v>
      </c>
      <c r="E42" s="125"/>
      <c r="F42" s="220" t="s">
        <v>249</v>
      </c>
      <c r="G42" s="62"/>
      <c r="H42" s="239">
        <f>DATE(2026,4,3)</f>
        <v>46115</v>
      </c>
      <c r="I42" s="237">
        <f>DATE(I4,12,31)</f>
        <v>46387</v>
      </c>
      <c r="J42" s="237">
        <f>DATE(J4,12,31)</f>
        <v>46752</v>
      </c>
      <c r="K42" s="237">
        <f>DATE(K4,12,31)</f>
        <v>47118</v>
      </c>
      <c r="L42" s="237">
        <f>DATE(L4,12,31)</f>
        <v>47483</v>
      </c>
      <c r="M42" s="238">
        <f>DATE(M4,12,31)</f>
        <v>47848</v>
      </c>
      <c r="N42" s="223">
        <f>DATE(M4+1,12,31)</f>
        <v>48213</v>
      </c>
    </row>
    <row r="43" spans="2:14" ht="15.75">
      <c r="B43" s="214" t="s">
        <v>255</v>
      </c>
      <c r="C43" s="177"/>
      <c r="D43" s="210">
        <f>'Inputs &amp; Assumptions'!H20</f>
        <v>2.9260217846630479E-2</v>
      </c>
      <c r="E43" s="125"/>
      <c r="F43" s="220" t="s">
        <v>250</v>
      </c>
      <c r="G43" s="62"/>
      <c r="H43" s="239">
        <f>DATE(2026,4,3)</f>
        <v>46115</v>
      </c>
      <c r="I43" s="224">
        <f t="shared" ref="I43:N43" si="15">EDATE(I42,-6)</f>
        <v>46203</v>
      </c>
      <c r="J43" s="224">
        <f t="shared" si="15"/>
        <v>46568</v>
      </c>
      <c r="K43" s="224">
        <f t="shared" si="15"/>
        <v>46934</v>
      </c>
      <c r="L43" s="224">
        <f t="shared" si="15"/>
        <v>47299</v>
      </c>
      <c r="M43" s="225">
        <f t="shared" si="15"/>
        <v>47664</v>
      </c>
      <c r="N43" s="225">
        <f t="shared" si="15"/>
        <v>48029</v>
      </c>
    </row>
    <row r="44" spans="2:14" ht="15.75">
      <c r="B44" s="41"/>
      <c r="C44" s="62"/>
      <c r="D44" s="125"/>
      <c r="E44" s="125"/>
      <c r="F44" s="125"/>
      <c r="G44" s="125"/>
      <c r="H44" s="245"/>
      <c r="I44" s="125"/>
      <c r="J44" s="125"/>
      <c r="K44" s="125"/>
      <c r="L44" s="125"/>
      <c r="M44" s="125"/>
      <c r="N44" s="125"/>
    </row>
    <row r="45" spans="2:14" ht="15.75">
      <c r="B45" s="87" t="s">
        <v>223</v>
      </c>
      <c r="C45" s="62"/>
      <c r="D45" s="125"/>
      <c r="E45" s="125"/>
      <c r="F45" s="125"/>
      <c r="G45" s="125"/>
      <c r="H45" s="240">
        <v>0</v>
      </c>
      <c r="I45" s="241">
        <f t="shared" ref="I45:N45" si="16">I27</f>
        <v>1526.7639596719969</v>
      </c>
      <c r="J45" s="241">
        <f t="shared" si="16"/>
        <v>1145.4144631646041</v>
      </c>
      <c r="K45" s="241">
        <f t="shared" si="16"/>
        <v>1479.243413976495</v>
      </c>
      <c r="L45" s="241">
        <f t="shared" si="16"/>
        <v>1639.4234274427008</v>
      </c>
      <c r="M45" s="241">
        <f t="shared" si="16"/>
        <v>2299.5524619990001</v>
      </c>
      <c r="N45" s="242">
        <f t="shared" si="16"/>
        <v>2471.0346224042178</v>
      </c>
    </row>
    <row r="47" spans="2:14">
      <c r="B47" s="185" t="s">
        <v>271</v>
      </c>
      <c r="C47" s="41"/>
      <c r="D47" s="41"/>
      <c r="E47" s="41"/>
      <c r="F47" s="41"/>
      <c r="G47" s="41"/>
      <c r="H47" s="81"/>
      <c r="I47" s="81"/>
      <c r="J47" s="81"/>
      <c r="K47" s="81"/>
      <c r="L47" s="81"/>
      <c r="M47" s="81"/>
      <c r="N47" s="168"/>
    </row>
    <row r="48" spans="2:14">
      <c r="B48" s="127" t="s">
        <v>246</v>
      </c>
      <c r="C48" s="41"/>
      <c r="D48" s="41"/>
      <c r="E48" s="41"/>
      <c r="F48" s="41"/>
      <c r="G48" s="41"/>
      <c r="H48" s="194">
        <f>H45</f>
        <v>0</v>
      </c>
      <c r="I48" s="170">
        <f>I45</f>
        <v>1526.7639596719969</v>
      </c>
      <c r="J48" s="170">
        <f t="shared" ref="J48:M48" si="17">J45</f>
        <v>1145.4144631646041</v>
      </c>
      <c r="K48" s="170">
        <f t="shared" si="17"/>
        <v>1479.243413976495</v>
      </c>
      <c r="L48" s="170">
        <f t="shared" si="17"/>
        <v>1639.4234274427008</v>
      </c>
      <c r="M48" s="170">
        <f t="shared" si="17"/>
        <v>2299.5524619990001</v>
      </c>
      <c r="N48" s="168"/>
    </row>
    <row r="49" spans="2:14">
      <c r="B49" s="127" t="s">
        <v>233</v>
      </c>
      <c r="C49" s="41"/>
      <c r="D49" s="41"/>
      <c r="E49" s="41"/>
      <c r="F49" s="41"/>
      <c r="G49" s="41"/>
      <c r="H49" s="232">
        <v>0</v>
      </c>
      <c r="I49" s="232">
        <v>0</v>
      </c>
      <c r="J49" s="232">
        <v>0</v>
      </c>
      <c r="K49" s="232">
        <v>0</v>
      </c>
      <c r="L49" s="232">
        <v>0</v>
      </c>
      <c r="M49" s="170">
        <f>N45*(1+D43)/D42-D43</f>
        <v>27948.735945961624</v>
      </c>
      <c r="N49" s="168"/>
    </row>
    <row r="50" spans="2:14">
      <c r="B50" s="127" t="s">
        <v>272</v>
      </c>
      <c r="C50" s="41"/>
      <c r="D50" s="41"/>
      <c r="E50" s="41"/>
      <c r="F50" s="41"/>
      <c r="G50" s="41"/>
      <c r="H50" s="233">
        <f>SUM(H48:H49)</f>
        <v>0</v>
      </c>
      <c r="I50" s="234">
        <f>SUM(I48:I49)</f>
        <v>1526.7639596719969</v>
      </c>
      <c r="J50" s="234">
        <f t="shared" ref="J50:M50" si="18">SUM(J48:J49)</f>
        <v>1145.4144631646041</v>
      </c>
      <c r="K50" s="234">
        <f t="shared" si="18"/>
        <v>1479.243413976495</v>
      </c>
      <c r="L50" s="234">
        <f t="shared" si="18"/>
        <v>1639.4234274427008</v>
      </c>
      <c r="M50" s="234">
        <f t="shared" si="18"/>
        <v>30248.288407960623</v>
      </c>
      <c r="N50" s="168"/>
    </row>
    <row r="51" spans="2:14">
      <c r="B51" s="41"/>
      <c r="C51" s="41"/>
      <c r="D51" s="41"/>
      <c r="E51" s="41"/>
      <c r="F51" s="41"/>
      <c r="G51" s="41"/>
      <c r="H51" s="81"/>
      <c r="I51" s="81"/>
      <c r="J51" s="81"/>
      <c r="K51" s="81"/>
      <c r="L51" s="81"/>
      <c r="M51" s="81"/>
      <c r="N51" s="168"/>
    </row>
    <row r="52" spans="2:14">
      <c r="B52" s="41"/>
      <c r="C52" s="41"/>
      <c r="D52" s="41"/>
      <c r="E52" s="41"/>
      <c r="F52" s="41"/>
      <c r="G52" s="41"/>
      <c r="H52" s="81"/>
      <c r="I52" s="81"/>
      <c r="J52" s="81"/>
      <c r="K52" s="81"/>
      <c r="L52" s="81"/>
      <c r="M52" s="81"/>
      <c r="N52" s="168"/>
    </row>
    <row r="53" spans="2:14">
      <c r="B53" s="185" t="s">
        <v>273</v>
      </c>
      <c r="C53" s="41"/>
      <c r="D53" s="41"/>
      <c r="E53" s="41"/>
      <c r="F53" s="41"/>
      <c r="G53" s="41"/>
      <c r="H53" s="81"/>
      <c r="I53" s="81"/>
      <c r="J53" s="81"/>
      <c r="K53" s="81"/>
      <c r="L53" s="81"/>
      <c r="M53" s="81"/>
      <c r="N53" s="168"/>
    </row>
    <row r="54" spans="2:14">
      <c r="B54" s="181" t="s">
        <v>253</v>
      </c>
      <c r="C54" s="41"/>
      <c r="D54" s="41"/>
      <c r="E54" s="41"/>
      <c r="F54" s="41"/>
      <c r="G54" s="41"/>
      <c r="H54" s="232">
        <v>0</v>
      </c>
      <c r="I54" s="235">
        <f>YEARFRAC(H43,I43)</f>
        <v>0.24166666666666667</v>
      </c>
      <c r="J54" s="235">
        <f t="shared" ref="J54:M54" si="19">YEARFRAC(I43,J43)</f>
        <v>1</v>
      </c>
      <c r="K54" s="235">
        <f t="shared" si="19"/>
        <v>1</v>
      </c>
      <c r="L54" s="235">
        <f t="shared" si="19"/>
        <v>1</v>
      </c>
      <c r="M54" s="235">
        <f t="shared" si="19"/>
        <v>1</v>
      </c>
      <c r="N54" s="168"/>
    </row>
    <row r="55" spans="2:14">
      <c r="B55" s="127" t="s">
        <v>246</v>
      </c>
      <c r="C55" s="41"/>
      <c r="D55" s="41"/>
      <c r="E55" s="41"/>
      <c r="F55" s="41"/>
      <c r="G55" s="41"/>
      <c r="H55" s="232">
        <v>0</v>
      </c>
      <c r="I55" s="170">
        <f>I45</f>
        <v>1526.7639596719969</v>
      </c>
      <c r="J55" s="170">
        <f t="shared" ref="J55:M55" si="20">J45</f>
        <v>1145.4144631646041</v>
      </c>
      <c r="K55" s="170">
        <f t="shared" si="20"/>
        <v>1479.243413976495</v>
      </c>
      <c r="L55" s="170">
        <f t="shared" si="20"/>
        <v>1639.4234274427008</v>
      </c>
      <c r="M55" s="170">
        <f t="shared" si="20"/>
        <v>2299.5524619990001</v>
      </c>
      <c r="N55" s="168"/>
    </row>
    <row r="56" spans="2:14">
      <c r="B56" s="127" t="s">
        <v>233</v>
      </c>
      <c r="C56" s="41"/>
      <c r="D56" s="41"/>
      <c r="E56" s="41"/>
      <c r="F56" s="41"/>
      <c r="G56" s="41"/>
      <c r="H56" s="232">
        <v>0</v>
      </c>
      <c r="I56" s="170"/>
      <c r="J56" s="170"/>
      <c r="K56" s="170"/>
      <c r="L56" s="170"/>
      <c r="M56" s="170">
        <f>M49</f>
        <v>27948.735945961624</v>
      </c>
      <c r="N56" s="168"/>
    </row>
    <row r="57" spans="2:14">
      <c r="B57" s="127" t="s">
        <v>274</v>
      </c>
      <c r="C57" s="41"/>
      <c r="D57" s="41"/>
      <c r="E57" s="41"/>
      <c r="F57" s="41"/>
      <c r="G57" s="41"/>
      <c r="H57" s="264">
        <v>0</v>
      </c>
      <c r="I57" s="234">
        <f>I55</f>
        <v>1526.7639596719969</v>
      </c>
      <c r="J57" s="234">
        <f>J55</f>
        <v>1145.4144631646041</v>
      </c>
      <c r="K57" s="234">
        <f>K55</f>
        <v>1479.243413976495</v>
      </c>
      <c r="L57" s="234">
        <f>L55</f>
        <v>1639.4234274427008</v>
      </c>
      <c r="M57" s="234">
        <f>SUM(M55,M56)</f>
        <v>30248.288407960623</v>
      </c>
      <c r="N57" s="168"/>
    </row>
    <row r="58" spans="2:14">
      <c r="B58" s="41"/>
      <c r="C58" s="41"/>
      <c r="D58" s="41"/>
      <c r="E58" s="41"/>
      <c r="F58" s="41"/>
      <c r="G58" s="41"/>
      <c r="H58" s="81"/>
      <c r="I58" s="81"/>
      <c r="J58" s="81"/>
      <c r="K58" s="81"/>
      <c r="L58" s="81"/>
      <c r="M58" s="81"/>
      <c r="N58" s="168"/>
    </row>
    <row r="59" spans="2:14">
      <c r="B59" s="41"/>
      <c r="C59" s="41"/>
      <c r="D59" s="41"/>
      <c r="E59" s="41"/>
      <c r="F59" s="41"/>
      <c r="G59" s="41"/>
      <c r="H59" s="81"/>
      <c r="I59" s="81"/>
      <c r="J59" s="81"/>
      <c r="K59" s="81"/>
      <c r="L59" s="81"/>
      <c r="M59" s="81"/>
      <c r="N59" s="168"/>
    </row>
    <row r="60" spans="2:14">
      <c r="B60" s="185" t="s">
        <v>275</v>
      </c>
      <c r="C60" s="41"/>
      <c r="D60" s="41"/>
      <c r="E60" s="41"/>
      <c r="F60" s="41"/>
      <c r="G60" s="41"/>
      <c r="H60" s="81"/>
      <c r="I60" s="81"/>
      <c r="J60" s="81"/>
      <c r="K60" s="81"/>
      <c r="L60" s="81"/>
      <c r="M60" s="81"/>
      <c r="N60" s="168"/>
    </row>
    <row r="61" spans="2:14">
      <c r="B61" s="181" t="s">
        <v>276</v>
      </c>
      <c r="C61" s="41"/>
      <c r="D61" s="41"/>
      <c r="E61" s="41"/>
      <c r="F61" s="41"/>
      <c r="G61" s="41"/>
      <c r="H61" s="232">
        <v>0</v>
      </c>
      <c r="I61" s="236">
        <f>YEARFRAC($H$43,I43)</f>
        <v>0.24166666666666667</v>
      </c>
      <c r="J61" s="236">
        <f>YEARFRAC($H$43,J43)</f>
        <v>1.2416666666666667</v>
      </c>
      <c r="K61" s="236">
        <f>YEARFRAC($H$43,K43)</f>
        <v>2.2416666666666667</v>
      </c>
      <c r="L61" s="236">
        <f>YEARFRAC($H$43,L43)</f>
        <v>3.2416666666666667</v>
      </c>
      <c r="M61" s="236">
        <f>YEARFRAC($H$43,M43)</f>
        <v>4.2416666666666663</v>
      </c>
      <c r="N61" s="168"/>
    </row>
    <row r="62" spans="2:14">
      <c r="B62" s="127" t="s">
        <v>246</v>
      </c>
      <c r="C62" s="41"/>
      <c r="D62" s="41"/>
      <c r="E62" s="41"/>
      <c r="F62" s="41"/>
      <c r="G62" s="41"/>
      <c r="H62" s="232">
        <v>0</v>
      </c>
      <c r="I62" s="170">
        <f>I48</f>
        <v>1526.7639596719969</v>
      </c>
      <c r="J62" s="170">
        <f t="shared" ref="J62:M62" si="21">J48</f>
        <v>1145.4144631646041</v>
      </c>
      <c r="K62" s="170">
        <f t="shared" si="21"/>
        <v>1479.243413976495</v>
      </c>
      <c r="L62" s="170">
        <f t="shared" si="21"/>
        <v>1639.4234274427008</v>
      </c>
      <c r="M62" s="170">
        <f t="shared" si="21"/>
        <v>2299.5524619990001</v>
      </c>
      <c r="N62" s="168"/>
    </row>
    <row r="63" spans="2:14">
      <c r="B63" s="127" t="s">
        <v>233</v>
      </c>
      <c r="C63" s="41"/>
      <c r="D63" s="41"/>
      <c r="E63" s="41"/>
      <c r="F63" s="41"/>
      <c r="G63" s="41"/>
      <c r="H63" s="232">
        <v>0</v>
      </c>
      <c r="I63" s="170"/>
      <c r="J63" s="170"/>
      <c r="K63" s="170"/>
      <c r="L63" s="170"/>
      <c r="M63" s="170">
        <f>M49</f>
        <v>27948.735945961624</v>
      </c>
      <c r="N63" s="168"/>
    </row>
    <row r="64" spans="2:14">
      <c r="B64" s="127" t="s">
        <v>274</v>
      </c>
      <c r="C64" s="41"/>
      <c r="D64" s="41"/>
      <c r="E64" s="41"/>
      <c r="F64" s="41"/>
      <c r="G64" s="41"/>
      <c r="H64" s="264">
        <v>0</v>
      </c>
      <c r="I64" s="234">
        <f>I62/((1+$D$42)^I61)</f>
        <v>1494.9646319154888</v>
      </c>
      <c r="J64" s="234">
        <f>J62/((1+$D$42)^J61)</f>
        <v>1028.0090327658268</v>
      </c>
      <c r="K64" s="234">
        <f>K62/((1+$D$42)^K61)</f>
        <v>1216.8839464461503</v>
      </c>
      <c r="L64" s="234">
        <f>L62/((1+$D$42)^L61)</f>
        <v>1236.1634647775322</v>
      </c>
      <c r="M64" s="234">
        <f>(M62+M63)/((1+$D$42)^M61)</f>
        <v>20905.512630747042</v>
      </c>
      <c r="N64" s="168"/>
    </row>
    <row r="65" spans="2:14">
      <c r="B65" s="41"/>
      <c r="C65" s="41"/>
      <c r="D65" s="41"/>
      <c r="E65" s="41"/>
      <c r="F65" s="41"/>
      <c r="G65" s="41"/>
      <c r="H65" s="81"/>
      <c r="I65" s="81"/>
      <c r="J65" s="81"/>
      <c r="K65" s="81"/>
      <c r="L65" s="81"/>
      <c r="M65" s="81"/>
      <c r="N65" s="168"/>
    </row>
    <row r="66" spans="2:14">
      <c r="B66" s="41"/>
      <c r="C66" s="41"/>
      <c r="D66" s="41"/>
      <c r="E66" s="41"/>
      <c r="F66" s="41"/>
      <c r="G66" s="41"/>
      <c r="H66" s="81"/>
      <c r="I66" s="81"/>
      <c r="J66" s="81"/>
      <c r="K66" s="81"/>
      <c r="L66" s="81"/>
      <c r="M66" s="81"/>
      <c r="N66" s="168"/>
    </row>
    <row r="67" spans="2:14" ht="15">
      <c r="B67" s="41"/>
      <c r="C67" s="41"/>
      <c r="D67" s="41"/>
      <c r="E67" s="41"/>
      <c r="F67" s="248" t="s">
        <v>277</v>
      </c>
      <c r="G67" s="249"/>
      <c r="H67" s="266"/>
      <c r="I67" s="81"/>
      <c r="J67" s="267" t="s">
        <v>256</v>
      </c>
      <c r="K67" s="81"/>
      <c r="L67" s="81"/>
      <c r="M67" s="81"/>
      <c r="N67" s="168"/>
    </row>
    <row r="68" spans="2:14" ht="15">
      <c r="B68" s="41"/>
      <c r="C68" s="41"/>
      <c r="D68" s="41"/>
      <c r="E68" s="41"/>
      <c r="F68" s="250" t="s">
        <v>257</v>
      </c>
      <c r="G68" s="251"/>
      <c r="H68" s="268">
        <f>SUM(I64:M64)</f>
        <v>25881.533706652041</v>
      </c>
      <c r="I68" s="81"/>
      <c r="J68" s="269" t="s">
        <v>258</v>
      </c>
      <c r="K68" s="270"/>
      <c r="L68" s="271"/>
      <c r="M68" s="272">
        <f>SUM(I64:L64)</f>
        <v>4976.0210759049978</v>
      </c>
      <c r="N68" s="168"/>
    </row>
    <row r="69" spans="2:14" ht="15">
      <c r="B69" s="41"/>
      <c r="C69" s="41"/>
      <c r="D69" s="41"/>
      <c r="E69" s="41"/>
      <c r="F69" s="253" t="s">
        <v>267</v>
      </c>
      <c r="G69" s="254"/>
      <c r="H69" s="299">
        <f>XNPV(D42,I57:M57,I42:M42)</f>
        <v>26426.367089176474</v>
      </c>
      <c r="I69" s="81"/>
      <c r="J69" s="273" t="s">
        <v>259</v>
      </c>
      <c r="K69" s="81"/>
      <c r="L69" s="274"/>
      <c r="M69" s="275">
        <f>M64</f>
        <v>20905.512630747042</v>
      </c>
      <c r="N69" s="168"/>
    </row>
    <row r="70" spans="2:14">
      <c r="B70" s="41"/>
      <c r="C70" s="41"/>
      <c r="D70" s="41"/>
      <c r="E70" s="41"/>
      <c r="F70" s="41"/>
      <c r="G70" s="41"/>
      <c r="H70" s="81"/>
      <c r="I70" s="81"/>
      <c r="J70" s="273" t="str">
        <f>$H$5&amp;"Tangible  Book Value"</f>
        <v>Tangible  Book Value</v>
      </c>
      <c r="K70" s="81"/>
      <c r="L70" s="274"/>
      <c r="M70" s="305">
        <f>N22</f>
        <v>36235.495273535984</v>
      </c>
      <c r="N70" s="168"/>
    </row>
    <row r="71" spans="2:14">
      <c r="B71" s="41"/>
      <c r="C71" s="41"/>
      <c r="D71" s="41"/>
      <c r="E71" s="41"/>
      <c r="F71" s="41"/>
      <c r="G71" s="41"/>
      <c r="H71" s="81"/>
      <c r="I71" s="81"/>
      <c r="J71" s="276" t="s">
        <v>260</v>
      </c>
      <c r="K71" s="277"/>
      <c r="L71" s="278"/>
      <c r="M71" s="279">
        <f>SUM(M68:M70)</f>
        <v>62117.028980188028</v>
      </c>
      <c r="N71" s="168"/>
    </row>
    <row r="72" spans="2:14"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</row>
    <row r="73" spans="2:14"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</row>
    <row r="74" spans="2:14">
      <c r="B74" s="41"/>
      <c r="C74" s="41"/>
      <c r="D74" s="41"/>
      <c r="E74" s="41"/>
      <c r="F74" s="41"/>
      <c r="G74" s="41"/>
      <c r="H74" s="41"/>
      <c r="I74" s="41"/>
      <c r="J74" s="248" t="s">
        <v>261</v>
      </c>
      <c r="K74" s="41"/>
      <c r="L74" s="41"/>
      <c r="M74" s="41"/>
    </row>
    <row r="75" spans="2:14">
      <c r="B75" s="41"/>
      <c r="C75" s="41"/>
      <c r="D75" s="41"/>
      <c r="E75" s="41"/>
      <c r="F75" s="41"/>
      <c r="G75" s="41"/>
      <c r="H75" s="41"/>
      <c r="I75" s="41"/>
      <c r="J75" s="250" t="s">
        <v>260</v>
      </c>
      <c r="K75" s="252"/>
      <c r="L75" s="252"/>
      <c r="M75" s="257">
        <f>M71</f>
        <v>62117.028980188028</v>
      </c>
    </row>
    <row r="76" spans="2:14">
      <c r="B76" s="41"/>
      <c r="C76" s="41"/>
      <c r="D76" s="41"/>
      <c r="E76" s="41"/>
      <c r="F76" s="41"/>
      <c r="G76" s="41"/>
      <c r="H76" s="41"/>
      <c r="I76" s="41"/>
      <c r="J76" s="255" t="s">
        <v>367</v>
      </c>
      <c r="K76" s="41"/>
      <c r="L76" s="41"/>
      <c r="M76" s="306">
        <f>'Inputs &amp; Assumptions'!H31</f>
        <v>58799</v>
      </c>
    </row>
    <row r="77" spans="2:14">
      <c r="B77" s="41"/>
      <c r="C77" s="41"/>
      <c r="D77" s="41"/>
      <c r="E77" s="41"/>
      <c r="F77" s="41"/>
      <c r="G77" s="41"/>
      <c r="H77" s="41"/>
      <c r="I77" s="41"/>
      <c r="J77" s="253" t="s">
        <v>260</v>
      </c>
      <c r="K77" s="256"/>
      <c r="L77" s="256"/>
      <c r="M77" s="307">
        <f>M75/M76</f>
        <v>1.0564300239831974</v>
      </c>
    </row>
    <row r="78" spans="2:14" ht="15">
      <c r="B78" s="62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</row>
    <row r="80" spans="2:14" ht="16.5" customHeight="1">
      <c r="B80" s="31" t="s">
        <v>268</v>
      </c>
      <c r="C80" s="32"/>
      <c r="D80" s="32"/>
      <c r="E80" s="32"/>
      <c r="F80" s="32"/>
      <c r="G80" s="33"/>
      <c r="H80" s="33"/>
      <c r="I80" s="34"/>
      <c r="J80" s="34"/>
      <c r="K80" s="34"/>
      <c r="L80" s="34"/>
      <c r="M80" s="34"/>
      <c r="N80" s="34"/>
    </row>
    <row r="81" spans="2:14" ht="15">
      <c r="B81" s="125"/>
      <c r="C81" s="125"/>
      <c r="D81" s="125"/>
      <c r="E81" s="125"/>
      <c r="F81" s="125"/>
      <c r="G81" s="125"/>
      <c r="H81" s="125"/>
      <c r="I81" s="125"/>
      <c r="J81" s="125"/>
      <c r="K81" s="125"/>
      <c r="L81" s="125"/>
      <c r="M81" s="125"/>
      <c r="N81" s="125"/>
    </row>
    <row r="82" spans="2:14" ht="15">
      <c r="C82" s="41"/>
      <c r="D82" s="41"/>
      <c r="E82" s="491" t="s">
        <v>269</v>
      </c>
      <c r="F82" s="491"/>
      <c r="G82" s="491"/>
      <c r="H82" s="491"/>
      <c r="I82" s="491"/>
      <c r="J82" s="41"/>
      <c r="K82" s="125"/>
      <c r="L82" s="125"/>
      <c r="M82" s="125"/>
      <c r="N82" s="125"/>
    </row>
    <row r="83" spans="2:14" ht="15">
      <c r="C83" s="41"/>
      <c r="D83" s="41"/>
      <c r="E83" s="446"/>
      <c r="F83" s="447"/>
      <c r="G83" s="447"/>
      <c r="H83" s="447"/>
      <c r="I83" s="447"/>
      <c r="J83" s="41"/>
      <c r="K83" s="125"/>
      <c r="L83" s="125"/>
      <c r="M83" s="125"/>
      <c r="N83" s="125"/>
    </row>
    <row r="84" spans="2:14" ht="15">
      <c r="C84" s="41"/>
      <c r="D84" s="41"/>
      <c r="E84" s="490" t="s">
        <v>199</v>
      </c>
      <c r="F84" s="490"/>
      <c r="G84" s="490"/>
      <c r="H84" s="490"/>
      <c r="I84" s="490"/>
      <c r="J84" s="41"/>
      <c r="K84" s="125"/>
      <c r="L84" s="125"/>
      <c r="M84" s="125"/>
      <c r="N84" s="125"/>
    </row>
    <row r="85" spans="2:14" ht="15" customHeight="1">
      <c r="C85" s="41"/>
      <c r="D85" s="285">
        <f>M77</f>
        <v>1.0564300239831974</v>
      </c>
      <c r="E85" s="286">
        <f>+F85-0.0025</f>
        <v>2.2400000000000003E-2</v>
      </c>
      <c r="F85" s="286">
        <f>+G85-0.0025</f>
        <v>2.4900000000000002E-2</v>
      </c>
      <c r="G85" s="295">
        <v>2.7400000000000001E-2</v>
      </c>
      <c r="H85" s="286">
        <f>+G85+0.0025</f>
        <v>2.9899999999999999E-2</v>
      </c>
      <c r="I85" s="286">
        <f>+H85+0.0025</f>
        <v>3.2399999999999998E-2</v>
      </c>
      <c r="J85" s="41"/>
      <c r="K85" s="125"/>
      <c r="L85" s="125"/>
      <c r="M85" s="125"/>
      <c r="N85" s="125"/>
    </row>
    <row r="86" spans="2:14" ht="15">
      <c r="C86" s="489" t="s">
        <v>195</v>
      </c>
      <c r="D86" s="287">
        <f>+D87+0.005</f>
        <v>0.10100000000000001</v>
      </c>
      <c r="E86" s="308">
        <f t="dataTable" ref="E86:I90" dt2D="1" dtr="1" r1="D43" r2="D42"/>
        <v>1.0084590483990779</v>
      </c>
      <c r="F86" s="309">
        <v>1.0091506594050448</v>
      </c>
      <c r="G86" s="309">
        <v>1.0098422704110119</v>
      </c>
      <c r="H86" s="309">
        <v>1.0105338814169789</v>
      </c>
      <c r="I86" s="309">
        <v>1.0112254924229458</v>
      </c>
      <c r="J86" s="41"/>
      <c r="K86" s="125"/>
      <c r="L86" s="125"/>
      <c r="M86" s="125"/>
      <c r="N86" s="125"/>
    </row>
    <row r="87" spans="2:14" ht="15">
      <c r="C87" s="489"/>
      <c r="D87" s="287">
        <f>+D88+0.005</f>
        <v>9.6000000000000002E-2</v>
      </c>
      <c r="E87" s="309">
        <v>1.0301362974978752</v>
      </c>
      <c r="F87" s="309">
        <v>1.0308781160541496</v>
      </c>
      <c r="G87" s="309">
        <v>1.0316199346104242</v>
      </c>
      <c r="H87" s="309">
        <v>1.0323617531666989</v>
      </c>
      <c r="I87" s="309">
        <v>1.0331035717229733</v>
      </c>
      <c r="J87" s="41"/>
      <c r="K87" s="125"/>
      <c r="L87" s="125"/>
      <c r="M87" s="125"/>
      <c r="N87" s="125"/>
    </row>
    <row r="88" spans="2:14" ht="15">
      <c r="C88" s="489"/>
      <c r="D88" s="296">
        <v>9.0999999999999998E-2</v>
      </c>
      <c r="E88" s="309">
        <v>1.0542405014077947</v>
      </c>
      <c r="F88" s="309">
        <v>1.0550384070371612</v>
      </c>
      <c r="G88" s="310">
        <v>1.0558363126665276</v>
      </c>
      <c r="H88" s="309">
        <v>1.0566342182958941</v>
      </c>
      <c r="I88" s="309">
        <v>1.0574321239252604</v>
      </c>
      <c r="J88" s="41"/>
      <c r="K88" s="125"/>
      <c r="L88" s="125"/>
      <c r="M88" s="125"/>
      <c r="N88" s="125"/>
    </row>
    <row r="89" spans="2:14" ht="15">
      <c r="C89" s="489"/>
      <c r="D89" s="287">
        <f>+D88-0.005</f>
        <v>8.5999999999999993E-2</v>
      </c>
      <c r="E89" s="309">
        <v>1.0811961624874418</v>
      </c>
      <c r="F89" s="309">
        <v>1.0820570713076489</v>
      </c>
      <c r="G89" s="309">
        <v>1.0829179801278559</v>
      </c>
      <c r="H89" s="309">
        <v>1.0837788889480626</v>
      </c>
      <c r="I89" s="309">
        <v>1.0846397977682698</v>
      </c>
      <c r="J89" s="41"/>
      <c r="K89" s="125"/>
      <c r="L89" s="125"/>
      <c r="M89" s="125"/>
      <c r="N89" s="125"/>
    </row>
    <row r="90" spans="2:14" ht="15">
      <c r="C90" s="489"/>
      <c r="D90" s="287">
        <f>+D89-0.005</f>
        <v>8.0999999999999989E-2</v>
      </c>
      <c r="E90" s="309">
        <v>1.1115326367165916</v>
      </c>
      <c r="F90" s="309">
        <v>1.1124647577873346</v>
      </c>
      <c r="G90" s="309">
        <v>1.1133968788580777</v>
      </c>
      <c r="H90" s="309">
        <v>1.1143289999288206</v>
      </c>
      <c r="I90" s="309">
        <v>1.1152611209995638</v>
      </c>
      <c r="J90" s="41"/>
      <c r="K90" s="125"/>
      <c r="L90" s="125"/>
      <c r="M90" s="125"/>
      <c r="N90" s="125"/>
    </row>
  </sheetData>
  <mergeCells count="3">
    <mergeCell ref="E82:I82"/>
    <mergeCell ref="C86:C90"/>
    <mergeCell ref="E84:I84"/>
  </mergeCells>
  <pageMargins left="0.7" right="0.7" top="0.75" bottom="0.75" header="0.3" footer="0.3"/>
  <ignoredErrors>
    <ignoredError sqref="N8:N11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DD0DE-B4AC-476C-9C09-B270E535F7BA}">
  <dimension ref="B2:O78"/>
  <sheetViews>
    <sheetView showGridLines="0" zoomScale="115" zoomScaleNormal="115" workbookViewId="0">
      <selection activeCell="E6" sqref="E6"/>
    </sheetView>
  </sheetViews>
  <sheetFormatPr defaultRowHeight="12.75"/>
  <cols>
    <col min="1" max="1" width="9.140625" style="41"/>
    <col min="2" max="2" width="26.5703125" style="41" customWidth="1"/>
    <col min="3" max="12" width="9.140625" style="41"/>
    <col min="13" max="13" width="10" style="41" customWidth="1"/>
    <col min="14" max="16384" width="9.140625" style="41"/>
  </cols>
  <sheetData>
    <row r="2" spans="2:13" ht="16.5" customHeight="1">
      <c r="B2" s="31" t="s">
        <v>296</v>
      </c>
      <c r="C2" s="32"/>
      <c r="D2" s="32"/>
      <c r="E2" s="32"/>
      <c r="F2" s="32"/>
      <c r="G2" s="33"/>
      <c r="H2" s="33"/>
      <c r="I2" s="32"/>
      <c r="J2" s="32"/>
      <c r="K2" s="33"/>
      <c r="L2" s="33"/>
      <c r="M2" s="33"/>
    </row>
    <row r="4" spans="2:13">
      <c r="B4" s="297" t="s">
        <v>10</v>
      </c>
    </row>
    <row r="6" spans="2:13">
      <c r="B6" s="28" t="s">
        <v>279</v>
      </c>
    </row>
    <row r="7" spans="2:13">
      <c r="B7" s="39" t="s">
        <v>280</v>
      </c>
      <c r="E7" s="312">
        <v>5</v>
      </c>
    </row>
    <row r="8" spans="2:13">
      <c r="B8" s="39" t="s">
        <v>281</v>
      </c>
      <c r="E8" s="79">
        <v>5.2499999999999998E-2</v>
      </c>
    </row>
    <row r="9" spans="2:13">
      <c r="B9" s="39" t="s">
        <v>282</v>
      </c>
      <c r="E9" s="79">
        <v>0.05</v>
      </c>
    </row>
    <row r="10" spans="2:13">
      <c r="B10" s="39" t="s">
        <v>283</v>
      </c>
      <c r="E10" s="332">
        <f>'Financial Model'!H189</f>
        <v>487836</v>
      </c>
    </row>
    <row r="11" spans="2:13">
      <c r="B11" s="39" t="s">
        <v>284</v>
      </c>
      <c r="E11" s="333">
        <f>E10*E8</f>
        <v>25611.39</v>
      </c>
    </row>
    <row r="12" spans="2:13" ht="15">
      <c r="B12" s="39" t="s">
        <v>297</v>
      </c>
      <c r="E12" s="334">
        <f>-PV(E9,E7,E11,E10)</f>
        <v>493116.18645273463</v>
      </c>
    </row>
    <row r="13" spans="2:13">
      <c r="B13" s="39" t="s">
        <v>285</v>
      </c>
      <c r="E13" s="334">
        <f>E12-E10</f>
        <v>5280.1864527346333</v>
      </c>
    </row>
    <row r="14" spans="2:13">
      <c r="E14" s="81"/>
    </row>
    <row r="15" spans="2:13">
      <c r="B15" s="28" t="s">
        <v>286</v>
      </c>
      <c r="E15" s="81"/>
    </row>
    <row r="16" spans="2:13">
      <c r="B16" s="39" t="s">
        <v>280</v>
      </c>
      <c r="E16" s="313">
        <f>E7</f>
        <v>5</v>
      </c>
    </row>
    <row r="17" spans="2:5">
      <c r="B17" s="39" t="s">
        <v>281</v>
      </c>
      <c r="E17" s="314">
        <v>4.7E-2</v>
      </c>
    </row>
    <row r="18" spans="2:5">
      <c r="B18" s="39" t="s">
        <v>282</v>
      </c>
      <c r="E18" s="314">
        <v>0.05</v>
      </c>
    </row>
    <row r="19" spans="2:5">
      <c r="B19" s="39" t="s">
        <v>283</v>
      </c>
      <c r="E19" s="315">
        <f>+E10</f>
        <v>487836</v>
      </c>
    </row>
    <row r="20" spans="2:5">
      <c r="B20" s="39" t="s">
        <v>284</v>
      </c>
      <c r="E20" s="190">
        <f>E19*E17</f>
        <v>22928.292000000001</v>
      </c>
    </row>
    <row r="21" spans="2:5" ht="15">
      <c r="B21" s="39" t="s">
        <v>297</v>
      </c>
      <c r="E21" s="170">
        <f>-PV(E18,E16,E20,E19)</f>
        <v>481499.77625671838</v>
      </c>
    </row>
    <row r="22" spans="2:5">
      <c r="B22" s="39" t="s">
        <v>285</v>
      </c>
      <c r="E22" s="170">
        <f>E21-E19</f>
        <v>-6336.2237432816182</v>
      </c>
    </row>
    <row r="23" spans="2:5">
      <c r="E23" s="81"/>
    </row>
    <row r="24" spans="2:5">
      <c r="B24" s="28" t="s">
        <v>287</v>
      </c>
      <c r="E24" s="81"/>
    </row>
    <row r="25" spans="2:5">
      <c r="B25" s="39" t="s">
        <v>280</v>
      </c>
      <c r="E25" s="313">
        <f>E16</f>
        <v>5</v>
      </c>
    </row>
    <row r="26" spans="2:5">
      <c r="B26" s="39" t="s">
        <v>281</v>
      </c>
      <c r="E26" s="314">
        <v>5.2499999999999998E-2</v>
      </c>
    </row>
    <row r="27" spans="2:5">
      <c r="B27" s="39" t="s">
        <v>282</v>
      </c>
      <c r="E27" s="314">
        <v>5.2499999999999998E-2</v>
      </c>
    </row>
    <row r="28" spans="2:5">
      <c r="B28" s="39" t="s">
        <v>283</v>
      </c>
      <c r="E28" s="335">
        <f>E19</f>
        <v>487836</v>
      </c>
    </row>
    <row r="29" spans="2:5">
      <c r="B29" s="39" t="s">
        <v>284</v>
      </c>
      <c r="E29" s="333">
        <f>E28*E26</f>
        <v>25611.39</v>
      </c>
    </row>
    <row r="30" spans="2:5" ht="15">
      <c r="B30" s="39" t="s">
        <v>297</v>
      </c>
      <c r="E30" s="334">
        <f>-PV(E27,E25,E29,E28)</f>
        <v>487836.00000000006</v>
      </c>
    </row>
    <row r="31" spans="2:5">
      <c r="B31" s="39" t="s">
        <v>285</v>
      </c>
      <c r="E31" s="334">
        <f>E28-E30</f>
        <v>0</v>
      </c>
    </row>
    <row r="32" spans="2:5">
      <c r="E32" s="336"/>
    </row>
    <row r="34" spans="2:15">
      <c r="B34" s="187"/>
      <c r="H34" s="355"/>
      <c r="M34" s="187" t="s">
        <v>288</v>
      </c>
    </row>
    <row r="37" spans="2:15" ht="16.5" customHeight="1">
      <c r="B37" s="31" t="s">
        <v>240</v>
      </c>
      <c r="C37" s="32"/>
      <c r="D37" s="32"/>
      <c r="E37" s="32"/>
      <c r="F37" s="32"/>
      <c r="G37" s="33"/>
      <c r="H37" s="33"/>
      <c r="I37" s="32"/>
      <c r="J37" s="32"/>
      <c r="K37" s="33"/>
      <c r="L37" s="33"/>
      <c r="M37" s="33"/>
    </row>
    <row r="38" spans="2:15">
      <c r="I38" s="167"/>
      <c r="J38" s="167"/>
      <c r="K38" s="167"/>
      <c r="L38" s="167"/>
    </row>
    <row r="39" spans="2:15">
      <c r="B39" s="297" t="s">
        <v>10</v>
      </c>
      <c r="C39" s="36"/>
      <c r="D39" s="126"/>
      <c r="G39" s="316" t="s">
        <v>289</v>
      </c>
      <c r="H39" s="316"/>
      <c r="I39" s="316"/>
      <c r="J39" s="317"/>
      <c r="K39" s="316" t="s">
        <v>290</v>
      </c>
      <c r="L39" s="316"/>
      <c r="M39" s="316"/>
    </row>
    <row r="40" spans="2:15">
      <c r="B40" s="297"/>
      <c r="C40" s="36"/>
      <c r="D40" s="126"/>
      <c r="E40" s="318">
        <f>'Financial Model'!H5</f>
        <v>2025</v>
      </c>
      <c r="G40" s="126" t="s">
        <v>291</v>
      </c>
      <c r="H40" s="126" t="s">
        <v>292</v>
      </c>
      <c r="I40" s="126" t="s">
        <v>293</v>
      </c>
      <c r="J40" s="126"/>
      <c r="K40" s="126" t="s">
        <v>291</v>
      </c>
      <c r="L40" s="126" t="s">
        <v>292</v>
      </c>
      <c r="M40" s="126" t="s">
        <v>293</v>
      </c>
    </row>
    <row r="41" spans="2:15">
      <c r="B41" s="107" t="s">
        <v>11</v>
      </c>
      <c r="C41" s="107"/>
      <c r="E41" s="319"/>
      <c r="G41" s="319"/>
      <c r="H41" s="319"/>
      <c r="I41" s="319"/>
      <c r="J41" s="320"/>
      <c r="K41" s="320"/>
      <c r="L41" s="320"/>
      <c r="M41" s="81"/>
      <c r="N41" s="81"/>
      <c r="O41" s="81"/>
    </row>
    <row r="42" spans="2:15">
      <c r="B42" s="107"/>
      <c r="C42" s="107"/>
      <c r="E42" s="319"/>
      <c r="G42" s="319"/>
      <c r="H42" s="319"/>
      <c r="I42" s="319"/>
      <c r="J42" s="320"/>
      <c r="K42" s="320"/>
      <c r="L42" s="320"/>
      <c r="M42" s="81"/>
      <c r="N42" s="81"/>
      <c r="O42" s="81"/>
    </row>
    <row r="43" spans="2:15">
      <c r="B43" s="45" t="s">
        <v>33</v>
      </c>
      <c r="C43" s="46"/>
      <c r="E43" s="342">
        <f>'Financial Model'!H8</f>
        <v>56661</v>
      </c>
      <c r="G43" s="331">
        <v>0.95</v>
      </c>
      <c r="H43" s="331">
        <v>1</v>
      </c>
      <c r="I43" s="331">
        <v>1.05</v>
      </c>
      <c r="J43" s="321"/>
      <c r="K43" s="337">
        <f t="shared" ref="K43:M45" si="0">$E43*G43</f>
        <v>53827.95</v>
      </c>
      <c r="L43" s="337">
        <f t="shared" si="0"/>
        <v>56661</v>
      </c>
      <c r="M43" s="337">
        <f t="shared" si="0"/>
        <v>59494.05</v>
      </c>
      <c r="N43" s="81"/>
      <c r="O43" s="81"/>
    </row>
    <row r="44" spans="2:15">
      <c r="B44" s="47" t="s">
        <v>24</v>
      </c>
      <c r="C44" s="46"/>
      <c r="E44" s="342">
        <f>'Financial Model'!H9</f>
        <v>240413</v>
      </c>
      <c r="G44" s="331">
        <v>0.85</v>
      </c>
      <c r="H44" s="331">
        <v>1</v>
      </c>
      <c r="I44" s="331">
        <v>1.1499999999999999</v>
      </c>
      <c r="J44" s="193"/>
      <c r="K44" s="337">
        <f t="shared" si="0"/>
        <v>204351.05</v>
      </c>
      <c r="L44" s="337">
        <f t="shared" si="0"/>
        <v>240413</v>
      </c>
      <c r="M44" s="337">
        <f t="shared" si="0"/>
        <v>276474.94999999995</v>
      </c>
      <c r="N44" s="81"/>
      <c r="O44" s="81"/>
    </row>
    <row r="45" spans="2:15">
      <c r="B45" s="47" t="s">
        <v>34</v>
      </c>
      <c r="C45" s="46"/>
      <c r="E45" s="342">
        <f>'Financial Model'!H10</f>
        <v>19727</v>
      </c>
      <c r="G45" s="331">
        <v>0.8</v>
      </c>
      <c r="H45" s="331">
        <v>1</v>
      </c>
      <c r="I45" s="331">
        <v>1.1000000000000001</v>
      </c>
      <c r="J45" s="193"/>
      <c r="K45" s="337">
        <f t="shared" si="0"/>
        <v>15781.6</v>
      </c>
      <c r="L45" s="337">
        <f t="shared" si="0"/>
        <v>19727</v>
      </c>
      <c r="M45" s="337">
        <f t="shared" si="0"/>
        <v>21699.7</v>
      </c>
      <c r="N45" s="81"/>
      <c r="O45" s="81"/>
    </row>
    <row r="46" spans="2:15">
      <c r="B46" s="47" t="s">
        <v>35</v>
      </c>
      <c r="C46" s="49"/>
      <c r="E46" s="342">
        <f>'Financial Model'!H11</f>
        <v>7236</v>
      </c>
      <c r="G46" s="331">
        <v>0.9</v>
      </c>
      <c r="H46" s="331">
        <v>1</v>
      </c>
      <c r="I46" s="331">
        <v>1.1000000000000001</v>
      </c>
      <c r="J46" s="321"/>
      <c r="K46" s="337">
        <f>$E46*G46</f>
        <v>6512.4000000000005</v>
      </c>
      <c r="L46" s="337">
        <f t="shared" ref="L46:L52" si="1">$E46*H46</f>
        <v>7236</v>
      </c>
      <c r="M46" s="337">
        <f t="shared" ref="M46:M52" si="2">$E46*I46</f>
        <v>7959.6</v>
      </c>
      <c r="N46" s="81"/>
      <c r="O46" s="81"/>
    </row>
    <row r="47" spans="2:15">
      <c r="B47" s="47" t="s">
        <v>36</v>
      </c>
      <c r="C47" s="49"/>
      <c r="E47" s="343">
        <f>'Financial Model'!H12</f>
        <v>481463</v>
      </c>
      <c r="G47" s="331">
        <v>0.95</v>
      </c>
      <c r="H47" s="331">
        <v>1</v>
      </c>
      <c r="I47" s="331">
        <v>1.05</v>
      </c>
      <c r="K47" s="53">
        <f t="shared" ref="K47:K52" si="3">$E47*G47</f>
        <v>457389.85</v>
      </c>
      <c r="L47" s="53">
        <f t="shared" si="1"/>
        <v>481463</v>
      </c>
      <c r="M47" s="53">
        <f t="shared" si="2"/>
        <v>505536.15</v>
      </c>
      <c r="N47" s="81"/>
      <c r="O47" s="81"/>
    </row>
    <row r="48" spans="2:15">
      <c r="B48" s="39" t="s">
        <v>37</v>
      </c>
      <c r="E48" s="343">
        <f>'Financial Model'!H13</f>
        <v>49476</v>
      </c>
      <c r="G48" s="331">
        <v>0.95</v>
      </c>
      <c r="H48" s="331">
        <v>1</v>
      </c>
      <c r="I48" s="331">
        <v>1.05</v>
      </c>
      <c r="K48" s="53">
        <f t="shared" si="3"/>
        <v>47002.2</v>
      </c>
      <c r="L48" s="53">
        <f t="shared" si="1"/>
        <v>49476</v>
      </c>
      <c r="M48" s="53">
        <f t="shared" si="2"/>
        <v>51949.8</v>
      </c>
      <c r="N48" s="81"/>
      <c r="O48" s="81"/>
    </row>
    <row r="49" spans="2:15">
      <c r="B49" s="39" t="s">
        <v>38</v>
      </c>
      <c r="E49" s="343">
        <f>'Financial Model'!H14</f>
        <v>14544</v>
      </c>
      <c r="G49" s="331">
        <v>0.9</v>
      </c>
      <c r="H49" s="331">
        <v>1</v>
      </c>
      <c r="I49" s="331">
        <v>1.1000000000000001</v>
      </c>
      <c r="K49" s="53">
        <f t="shared" si="3"/>
        <v>13089.6</v>
      </c>
      <c r="L49" s="53">
        <f t="shared" si="1"/>
        <v>14544</v>
      </c>
      <c r="M49" s="53">
        <f t="shared" si="2"/>
        <v>15998.400000000001</v>
      </c>
      <c r="N49" s="81"/>
      <c r="O49" s="81"/>
    </row>
    <row r="50" spans="2:15">
      <c r="B50" s="47" t="s">
        <v>25</v>
      </c>
      <c r="C50" s="46"/>
      <c r="E50" s="343">
        <f>'Financial Model'!H15</f>
        <v>36320</v>
      </c>
      <c r="G50" s="331">
        <v>0.8</v>
      </c>
      <c r="H50" s="331">
        <v>1</v>
      </c>
      <c r="I50" s="331">
        <v>1.2</v>
      </c>
      <c r="K50" s="53">
        <f t="shared" si="3"/>
        <v>29056</v>
      </c>
      <c r="L50" s="53">
        <f t="shared" si="1"/>
        <v>36320</v>
      </c>
      <c r="M50" s="53">
        <f t="shared" si="2"/>
        <v>43584</v>
      </c>
      <c r="N50" s="81"/>
      <c r="O50" s="81"/>
    </row>
    <row r="51" spans="2:15">
      <c r="B51" s="47" t="s">
        <v>39</v>
      </c>
      <c r="C51" s="46"/>
      <c r="E51" s="343">
        <f>'Financial Model'!H16</f>
        <v>8593</v>
      </c>
      <c r="G51" s="331">
        <v>0.2</v>
      </c>
      <c r="H51" s="331">
        <v>1</v>
      </c>
      <c r="I51" s="331">
        <v>0.7</v>
      </c>
      <c r="K51" s="53">
        <f t="shared" si="3"/>
        <v>1718.6000000000001</v>
      </c>
      <c r="L51" s="53">
        <f t="shared" si="1"/>
        <v>8593</v>
      </c>
      <c r="M51" s="53">
        <f t="shared" si="2"/>
        <v>6015.0999999999995</v>
      </c>
      <c r="N51" s="81"/>
      <c r="O51" s="81"/>
    </row>
    <row r="52" spans="2:15">
      <c r="B52" s="47" t="s">
        <v>12</v>
      </c>
      <c r="C52" s="46"/>
      <c r="E52" s="344">
        <f>'Financial Model'!H17</f>
        <v>29639</v>
      </c>
      <c r="G52" s="331">
        <v>0.9</v>
      </c>
      <c r="H52" s="331">
        <v>1</v>
      </c>
      <c r="I52" s="331">
        <v>1.1000000000000001</v>
      </c>
      <c r="K52" s="339">
        <f t="shared" si="3"/>
        <v>26675.100000000002</v>
      </c>
      <c r="L52" s="339">
        <f t="shared" si="1"/>
        <v>29639</v>
      </c>
      <c r="M52" s="339">
        <f t="shared" si="2"/>
        <v>32602.9</v>
      </c>
      <c r="N52" s="81"/>
      <c r="O52" s="81"/>
    </row>
    <row r="53" spans="2:15">
      <c r="B53" s="48" t="s">
        <v>17</v>
      </c>
      <c r="C53" s="311"/>
      <c r="E53" s="338">
        <f>SUM(E43:E52)</f>
        <v>944072</v>
      </c>
      <c r="K53" s="333">
        <f>SUM(K43:K52)</f>
        <v>855404.34999999986</v>
      </c>
      <c r="L53" s="333">
        <f t="shared" ref="L53:M53" si="4">SUM(L43:L52)</f>
        <v>944072</v>
      </c>
      <c r="M53" s="333">
        <f t="shared" si="4"/>
        <v>1021314.65</v>
      </c>
      <c r="N53" s="81"/>
      <c r="O53" s="81"/>
    </row>
    <row r="54" spans="2:15">
      <c r="B54" s="181"/>
      <c r="C54" s="322"/>
      <c r="G54" s="323"/>
      <c r="H54" s="323"/>
      <c r="I54" s="323"/>
      <c r="J54" s="324"/>
      <c r="N54" s="81"/>
      <c r="O54" s="81"/>
    </row>
    <row r="55" spans="2:15" ht="15">
      <c r="B55" s="27" t="s">
        <v>13</v>
      </c>
      <c r="C55" s="107"/>
      <c r="E55" s="323"/>
      <c r="G55" s="323"/>
      <c r="H55" s="323"/>
      <c r="I55" s="323"/>
      <c r="J55" s="324"/>
      <c r="K55" s="324"/>
      <c r="L55" s="324"/>
      <c r="M55" s="81"/>
      <c r="N55" s="81"/>
      <c r="O55" s="81"/>
    </row>
    <row r="56" spans="2:15">
      <c r="B56" s="39" t="s">
        <v>15</v>
      </c>
      <c r="C56" s="107"/>
      <c r="E56" s="346">
        <f>'Financial Model'!H21</f>
        <v>5779</v>
      </c>
      <c r="F56" s="81"/>
      <c r="G56" s="341">
        <v>0.9</v>
      </c>
      <c r="H56" s="341">
        <v>1</v>
      </c>
      <c r="I56" s="341">
        <v>1.1000000000000001</v>
      </c>
      <c r="J56" s="324"/>
      <c r="K56" s="348">
        <f>$E56*G56</f>
        <v>5201.1000000000004</v>
      </c>
      <c r="L56" s="348">
        <f t="shared" ref="L56:L64" si="5">$E56*H56</f>
        <v>5779</v>
      </c>
      <c r="M56" s="348">
        <f t="shared" ref="M56:M64" si="6">$E56*I56</f>
        <v>6356.9000000000005</v>
      </c>
      <c r="N56" s="81"/>
      <c r="O56" s="81"/>
    </row>
    <row r="57" spans="2:15">
      <c r="B57" s="39" t="s">
        <v>14</v>
      </c>
      <c r="C57" s="181"/>
      <c r="E57" s="346">
        <f>'Financial Model'!H22</f>
        <v>496457</v>
      </c>
      <c r="F57" s="81"/>
      <c r="G57" s="341">
        <v>0.9</v>
      </c>
      <c r="H57" s="341">
        <v>1</v>
      </c>
      <c r="I57" s="341">
        <v>1.1000000000000001</v>
      </c>
      <c r="J57" s="324"/>
      <c r="K57" s="349">
        <f t="shared" ref="K57:K64" si="7">$E57*G57</f>
        <v>446811.3</v>
      </c>
      <c r="L57" s="349">
        <f t="shared" si="5"/>
        <v>496457</v>
      </c>
      <c r="M57" s="349">
        <f t="shared" si="6"/>
        <v>546102.70000000007</v>
      </c>
      <c r="N57" s="81"/>
      <c r="O57" s="81"/>
    </row>
    <row r="58" spans="2:15">
      <c r="B58" s="39" t="s">
        <v>40</v>
      </c>
      <c r="C58" s="181"/>
      <c r="D58" s="325"/>
      <c r="E58" s="346">
        <f>'Financial Model'!H23</f>
        <v>38570</v>
      </c>
      <c r="F58" s="81"/>
      <c r="G58" s="341">
        <v>1</v>
      </c>
      <c r="H58" s="341">
        <v>1</v>
      </c>
      <c r="I58" s="341">
        <v>1</v>
      </c>
      <c r="J58" s="193"/>
      <c r="K58" s="349">
        <f t="shared" si="7"/>
        <v>38570</v>
      </c>
      <c r="L58" s="349">
        <f t="shared" si="5"/>
        <v>38570</v>
      </c>
      <c r="M58" s="349">
        <f t="shared" si="6"/>
        <v>38570</v>
      </c>
      <c r="N58" s="81"/>
      <c r="O58" s="81"/>
    </row>
    <row r="59" spans="2:15">
      <c r="B59" s="39" t="s">
        <v>41</v>
      </c>
      <c r="C59" s="181"/>
      <c r="E59" s="346">
        <f>'Financial Model'!H24</f>
        <v>27909</v>
      </c>
      <c r="F59" s="81"/>
      <c r="G59" s="341">
        <v>0.8</v>
      </c>
      <c r="H59" s="341">
        <v>1</v>
      </c>
      <c r="I59" s="341">
        <v>1.1000000000000001</v>
      </c>
      <c r="J59" s="340"/>
      <c r="K59" s="350">
        <f t="shared" si="7"/>
        <v>22327.200000000001</v>
      </c>
      <c r="L59" s="350">
        <f t="shared" si="5"/>
        <v>27909</v>
      </c>
      <c r="M59" s="350">
        <f t="shared" si="6"/>
        <v>30699.9</v>
      </c>
      <c r="N59" s="81"/>
      <c r="O59" s="81"/>
    </row>
    <row r="60" spans="2:15">
      <c r="B60" s="39" t="s">
        <v>34</v>
      </c>
      <c r="E60" s="346">
        <f>'Financial Model'!H25</f>
        <v>16132</v>
      </c>
      <c r="F60" s="81"/>
      <c r="G60" s="341">
        <v>1</v>
      </c>
      <c r="H60" s="341">
        <v>1</v>
      </c>
      <c r="I60" s="341">
        <v>1</v>
      </c>
      <c r="J60" s="81"/>
      <c r="K60" s="348">
        <f t="shared" si="7"/>
        <v>16132</v>
      </c>
      <c r="L60" s="348">
        <f t="shared" si="5"/>
        <v>16132</v>
      </c>
      <c r="M60" s="348">
        <f t="shared" si="6"/>
        <v>16132</v>
      </c>
      <c r="N60" s="81"/>
      <c r="O60" s="81"/>
    </row>
    <row r="61" spans="2:15">
      <c r="B61" s="39" t="s">
        <v>42</v>
      </c>
      <c r="E61" s="346">
        <f>'Financial Model'!H26</f>
        <v>78271</v>
      </c>
      <c r="F61" s="81"/>
      <c r="G61" s="341">
        <v>1</v>
      </c>
      <c r="H61" s="341">
        <v>1</v>
      </c>
      <c r="I61" s="341">
        <v>1</v>
      </c>
      <c r="J61" s="81"/>
      <c r="K61" s="348">
        <f t="shared" si="7"/>
        <v>78271</v>
      </c>
      <c r="L61" s="348">
        <f t="shared" si="5"/>
        <v>78271</v>
      </c>
      <c r="M61" s="348">
        <f t="shared" si="6"/>
        <v>78271</v>
      </c>
      <c r="N61" s="81"/>
      <c r="O61" s="81"/>
    </row>
    <row r="62" spans="2:15">
      <c r="B62" s="39" t="s">
        <v>26</v>
      </c>
      <c r="E62" s="346">
        <f>'Financial Model'!H27</f>
        <v>196924</v>
      </c>
      <c r="F62" s="81"/>
      <c r="G62" s="341">
        <v>0.9</v>
      </c>
      <c r="H62" s="341">
        <v>1</v>
      </c>
      <c r="I62" s="341">
        <v>1</v>
      </c>
      <c r="J62" s="81"/>
      <c r="K62" s="348">
        <f t="shared" si="7"/>
        <v>177231.6</v>
      </c>
      <c r="L62" s="348">
        <f t="shared" si="5"/>
        <v>196924</v>
      </c>
      <c r="M62" s="348">
        <f t="shared" si="6"/>
        <v>196924</v>
      </c>
      <c r="N62" s="81"/>
      <c r="O62" s="81"/>
    </row>
    <row r="63" spans="2:15">
      <c r="B63" s="39" t="s">
        <v>43</v>
      </c>
      <c r="C63" s="322"/>
      <c r="E63" s="347">
        <f>'Financial Model'!H28</f>
        <v>25918</v>
      </c>
      <c r="G63" s="341">
        <v>0.9</v>
      </c>
      <c r="H63" s="341">
        <v>1</v>
      </c>
      <c r="I63" s="341">
        <v>1.1000000000000001</v>
      </c>
      <c r="J63" s="324"/>
      <c r="K63" s="348">
        <f t="shared" si="7"/>
        <v>23326.2</v>
      </c>
      <c r="L63" s="348">
        <f t="shared" si="5"/>
        <v>25918</v>
      </c>
      <c r="M63" s="348">
        <f t="shared" si="6"/>
        <v>28509.800000000003</v>
      </c>
      <c r="N63" s="81"/>
      <c r="O63" s="81"/>
    </row>
    <row r="64" spans="2:15">
      <c r="B64" s="39" t="s">
        <v>16</v>
      </c>
      <c r="E64" s="343">
        <f>'Financial Model'!H29</f>
        <v>10245</v>
      </c>
      <c r="G64" s="341">
        <v>0.9</v>
      </c>
      <c r="H64" s="341">
        <v>1</v>
      </c>
      <c r="I64" s="341">
        <v>1.1000000000000001</v>
      </c>
      <c r="J64" s="81"/>
      <c r="K64" s="351">
        <f t="shared" si="7"/>
        <v>9220.5</v>
      </c>
      <c r="L64" s="351">
        <f t="shared" si="5"/>
        <v>10245</v>
      </c>
      <c r="M64" s="351">
        <f t="shared" si="6"/>
        <v>11269.5</v>
      </c>
      <c r="N64" s="81"/>
      <c r="O64" s="81"/>
    </row>
    <row r="65" spans="2:15">
      <c r="B65" s="28" t="s">
        <v>18</v>
      </c>
      <c r="E65" s="345">
        <f>SUM(E56:E64)</f>
        <v>896205</v>
      </c>
      <c r="J65" s="81"/>
      <c r="K65" s="352">
        <f>SUM(K56:K64)</f>
        <v>817090.89999999991</v>
      </c>
      <c r="L65" s="352">
        <f t="shared" ref="L65:M65" si="8">SUM(L56:L64)</f>
        <v>896205</v>
      </c>
      <c r="M65" s="352">
        <f t="shared" si="8"/>
        <v>952835.80000000016</v>
      </c>
      <c r="N65" s="81"/>
      <c r="O65" s="81"/>
    </row>
    <row r="66" spans="2:15">
      <c r="O66" s="81"/>
    </row>
    <row r="67" spans="2:15">
      <c r="B67" s="353" t="s">
        <v>294</v>
      </c>
      <c r="J67" s="81"/>
      <c r="K67" s="354" t="s">
        <v>291</v>
      </c>
      <c r="L67" s="354" t="s">
        <v>292</v>
      </c>
      <c r="M67" s="354" t="s">
        <v>293</v>
      </c>
      <c r="O67" s="81"/>
    </row>
    <row r="68" spans="2:15">
      <c r="B68" s="41" t="s">
        <v>180</v>
      </c>
      <c r="E68" s="326"/>
      <c r="J68" s="81"/>
      <c r="K68" s="170">
        <f>K53</f>
        <v>855404.34999999986</v>
      </c>
      <c r="L68" s="170">
        <f>L53</f>
        <v>944072</v>
      </c>
      <c r="M68" s="170">
        <f>M53</f>
        <v>1021314.65</v>
      </c>
      <c r="O68" s="81"/>
    </row>
    <row r="69" spans="2:15">
      <c r="B69" s="41" t="s">
        <v>13</v>
      </c>
      <c r="E69" s="326"/>
      <c r="J69" s="81"/>
      <c r="K69" s="170">
        <f>-K65</f>
        <v>-817090.89999999991</v>
      </c>
      <c r="L69" s="170">
        <f t="shared" ref="L69:M69" si="9">-L65</f>
        <v>-896205</v>
      </c>
      <c r="M69" s="170">
        <f t="shared" si="9"/>
        <v>-952835.80000000016</v>
      </c>
    </row>
    <row r="70" spans="2:15">
      <c r="B70" s="41" t="s">
        <v>294</v>
      </c>
      <c r="E70" s="326"/>
      <c r="J70" s="81"/>
      <c r="K70" s="170">
        <f>SUM(K68:K69)</f>
        <v>38313.449999999953</v>
      </c>
      <c r="L70" s="170">
        <f t="shared" ref="L70:M70" si="10">SUM(L68:L69)</f>
        <v>47867</v>
      </c>
      <c r="M70" s="170">
        <f t="shared" si="10"/>
        <v>68478.84999999986</v>
      </c>
    </row>
    <row r="71" spans="2:15">
      <c r="B71" s="41" t="s">
        <v>237</v>
      </c>
      <c r="E71" s="326"/>
      <c r="J71" s="81"/>
      <c r="K71" s="208">
        <f>'Inputs &amp; Assumptions'!H31</f>
        <v>58799</v>
      </c>
      <c r="L71" s="208">
        <f>'Inputs &amp; Assumptions'!H31</f>
        <v>58799</v>
      </c>
      <c r="M71" s="208">
        <f>'Inputs &amp; Assumptions'!H31</f>
        <v>58799</v>
      </c>
    </row>
    <row r="72" spans="2:15">
      <c r="B72" s="41" t="s">
        <v>269</v>
      </c>
      <c r="J72" s="81"/>
      <c r="K72" s="327">
        <f>K70/K71</f>
        <v>0.65160036735318549</v>
      </c>
      <c r="L72" s="327">
        <f t="shared" ref="L72:M72" si="11">L70/L71</f>
        <v>0.81407847072229123</v>
      </c>
      <c r="M72" s="327">
        <f t="shared" si="11"/>
        <v>1.1646260990833153</v>
      </c>
    </row>
    <row r="73" spans="2:15">
      <c r="B73" s="41" t="s">
        <v>295</v>
      </c>
      <c r="J73" s="81"/>
      <c r="K73" s="329">
        <f>(K72*K71)/($E$53-$E$65)</f>
        <v>0.80041469070549554</v>
      </c>
      <c r="L73" s="330">
        <f t="shared" ref="L73:M73" si="12">(L72*L71)/($E$53-$E$65)</f>
        <v>1</v>
      </c>
      <c r="M73" s="330">
        <f t="shared" si="12"/>
        <v>1.4306066810119678</v>
      </c>
    </row>
    <row r="76" spans="2:15">
      <c r="N76" s="81"/>
    </row>
    <row r="77" spans="2:15">
      <c r="N77" s="81"/>
    </row>
    <row r="78" spans="2:15">
      <c r="N78" s="8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78BE5-3A92-4B5F-823B-7848F1124835}">
  <dimension ref="B2:R64"/>
  <sheetViews>
    <sheetView showGridLines="0" topLeftCell="A25" zoomScaleNormal="100" workbookViewId="0">
      <selection activeCell="K23" sqref="K23"/>
    </sheetView>
  </sheetViews>
  <sheetFormatPr defaultRowHeight="12.75"/>
  <cols>
    <col min="1" max="1" width="9.140625" style="41"/>
    <col min="2" max="2" width="18.28515625" style="41" customWidth="1"/>
    <col min="3" max="3" width="9.28515625" style="41" bestFit="1" customWidth="1"/>
    <col min="4" max="5" width="11.85546875" style="41" bestFit="1" customWidth="1"/>
    <col min="6" max="6" width="10.5703125" style="41" customWidth="1"/>
    <col min="7" max="7" width="10.42578125" style="41" customWidth="1"/>
    <col min="8" max="8" width="10.5703125" style="41" customWidth="1"/>
    <col min="9" max="9" width="10.42578125" style="41" customWidth="1"/>
    <col min="10" max="11" width="13.85546875" style="41" bestFit="1" customWidth="1"/>
    <col min="12" max="16384" width="9.140625" style="41"/>
  </cols>
  <sheetData>
    <row r="2" spans="2:18" ht="16.5" customHeight="1">
      <c r="B2" s="31" t="s">
        <v>298</v>
      </c>
      <c r="C2" s="32"/>
      <c r="D2" s="32"/>
      <c r="E2" s="32"/>
      <c r="F2" s="32"/>
      <c r="G2" s="33"/>
      <c r="H2" s="33"/>
      <c r="I2" s="32"/>
      <c r="J2" s="32"/>
      <c r="K2" s="33"/>
      <c r="L2" s="33"/>
      <c r="M2" s="33"/>
      <c r="N2" s="32"/>
      <c r="O2" s="32"/>
      <c r="P2" s="33"/>
      <c r="Q2" s="33"/>
      <c r="R2" s="33"/>
    </row>
    <row r="3" spans="2:18">
      <c r="I3" s="167"/>
      <c r="J3" s="167"/>
      <c r="K3" s="167"/>
      <c r="L3" s="167"/>
    </row>
    <row r="4" spans="2:18">
      <c r="B4" s="297" t="s">
        <v>10</v>
      </c>
      <c r="I4" s="167"/>
      <c r="J4" s="167"/>
      <c r="K4" s="167"/>
      <c r="L4" s="167"/>
    </row>
    <row r="5" spans="2:18">
      <c r="F5" s="357" t="s">
        <v>299</v>
      </c>
      <c r="G5" s="357"/>
      <c r="P5" s="358" t="s">
        <v>300</v>
      </c>
      <c r="Q5" s="358"/>
      <c r="R5" s="359" t="s">
        <v>301</v>
      </c>
    </row>
    <row r="6" spans="2:18">
      <c r="B6" s="360" t="s">
        <v>2</v>
      </c>
      <c r="C6" s="361" t="s">
        <v>302</v>
      </c>
      <c r="D6" s="361" t="s">
        <v>303</v>
      </c>
      <c r="E6" s="361" t="s">
        <v>304</v>
      </c>
      <c r="F6" s="362" t="s">
        <v>262</v>
      </c>
      <c r="G6" s="284"/>
      <c r="H6" s="363" t="s">
        <v>103</v>
      </c>
      <c r="I6" s="364"/>
      <c r="J6" s="363" t="s">
        <v>305</v>
      </c>
      <c r="K6" s="363"/>
      <c r="L6" s="363" t="s">
        <v>306</v>
      </c>
      <c r="M6" s="363"/>
      <c r="N6" s="363" t="s">
        <v>307</v>
      </c>
      <c r="O6" s="284"/>
      <c r="P6" s="358" t="s">
        <v>308</v>
      </c>
      <c r="Q6" s="358"/>
      <c r="R6" s="359" t="s">
        <v>309</v>
      </c>
    </row>
    <row r="7" spans="2:18">
      <c r="B7" s="365" t="s">
        <v>310</v>
      </c>
      <c r="C7" s="366" t="s">
        <v>311</v>
      </c>
      <c r="D7" s="366" t="s">
        <v>312</v>
      </c>
      <c r="E7" s="366" t="s">
        <v>313</v>
      </c>
      <c r="F7" s="367">
        <f>'Financial Model'!H5</f>
        <v>2025</v>
      </c>
      <c r="G7" s="368">
        <f>'Financial Model'!I5</f>
        <v>2026</v>
      </c>
      <c r="H7" s="367">
        <f t="shared" ref="H7:R7" si="0">F7</f>
        <v>2025</v>
      </c>
      <c r="I7" s="368">
        <f t="shared" si="0"/>
        <v>2026</v>
      </c>
      <c r="J7" s="367">
        <f t="shared" si="0"/>
        <v>2025</v>
      </c>
      <c r="K7" s="368">
        <f t="shared" si="0"/>
        <v>2026</v>
      </c>
      <c r="L7" s="367">
        <f t="shared" si="0"/>
        <v>2025</v>
      </c>
      <c r="M7" s="368">
        <f t="shared" si="0"/>
        <v>2026</v>
      </c>
      <c r="N7" s="367">
        <f t="shared" si="0"/>
        <v>2025</v>
      </c>
      <c r="O7" s="368">
        <f t="shared" si="0"/>
        <v>2026</v>
      </c>
      <c r="P7" s="367">
        <f t="shared" si="0"/>
        <v>2025</v>
      </c>
      <c r="Q7" s="368">
        <f t="shared" si="0"/>
        <v>2026</v>
      </c>
      <c r="R7" s="367">
        <f t="shared" si="0"/>
        <v>2025</v>
      </c>
    </row>
    <row r="8" spans="2:18">
      <c r="B8" s="369"/>
      <c r="C8" s="403" t="s">
        <v>314</v>
      </c>
      <c r="D8" s="403" t="s">
        <v>315</v>
      </c>
      <c r="E8" s="370"/>
      <c r="F8" s="369"/>
      <c r="G8" s="370"/>
      <c r="H8" s="370"/>
      <c r="I8" s="404"/>
      <c r="J8" s="404" t="s">
        <v>316</v>
      </c>
      <c r="K8" s="404" t="s">
        <v>316</v>
      </c>
      <c r="L8" s="404" t="s">
        <v>316</v>
      </c>
      <c r="M8" s="404" t="s">
        <v>316</v>
      </c>
      <c r="N8" s="404"/>
    </row>
    <row r="10" spans="2:18">
      <c r="B10" s="41" t="s">
        <v>317</v>
      </c>
      <c r="C10" s="371">
        <v>5.9420000000000002</v>
      </c>
      <c r="D10" s="372">
        <v>7979</v>
      </c>
      <c r="E10" s="373">
        <f>C10*D10</f>
        <v>47411.218000000001</v>
      </c>
      <c r="F10" s="374">
        <v>35300</v>
      </c>
      <c r="G10" s="374">
        <v>37000</v>
      </c>
      <c r="H10" s="374">
        <v>5500</v>
      </c>
      <c r="I10" s="374">
        <v>5100</v>
      </c>
      <c r="J10" s="375">
        <f>E10/F10</f>
        <v>1.3430939943342777</v>
      </c>
      <c r="K10" s="376">
        <f>E10/G10</f>
        <v>1.2813842702702702</v>
      </c>
      <c r="L10" s="376">
        <f>E10/H10</f>
        <v>8.6202214545454545</v>
      </c>
      <c r="M10" s="376">
        <f>E10/I10</f>
        <v>9.296317254901961</v>
      </c>
      <c r="N10" s="405">
        <f>H10/F10</f>
        <v>0.15580736543909349</v>
      </c>
      <c r="O10" s="406">
        <f t="shared" ref="O10" si="1">I10/G10</f>
        <v>0.13783783783783785</v>
      </c>
      <c r="P10" s="377">
        <v>0.33</v>
      </c>
      <c r="Q10" s="377">
        <v>0.3</v>
      </c>
      <c r="R10" s="80">
        <f>IFERROR(P10/C10,"NA")</f>
        <v>5.5536856277347696E-2</v>
      </c>
    </row>
    <row r="11" spans="2:18">
      <c r="B11" s="41" t="s">
        <v>318</v>
      </c>
      <c r="C11" s="371">
        <v>4.2850000000000001</v>
      </c>
      <c r="D11" s="372">
        <v>13752.39</v>
      </c>
      <c r="E11" s="378">
        <f>C11*D11</f>
        <v>58928.991150000002</v>
      </c>
      <c r="F11" s="374">
        <v>73500</v>
      </c>
      <c r="G11" s="374">
        <v>76200</v>
      </c>
      <c r="H11" s="374">
        <v>5300</v>
      </c>
      <c r="I11" s="374">
        <v>5600</v>
      </c>
      <c r="J11" s="379">
        <f t="shared" ref="J11:J14" si="2">E11/F11</f>
        <v>0.80175498163265313</v>
      </c>
      <c r="K11" s="330">
        <f t="shared" ref="K11:K14" si="3">E11/G11</f>
        <v>0.77334634055118112</v>
      </c>
      <c r="L11" s="330">
        <f t="shared" ref="L11:L14" si="4">E11/H11</f>
        <v>11.118677575471699</v>
      </c>
      <c r="M11" s="330">
        <f t="shared" ref="M11:M14" si="5">E11/I11</f>
        <v>10.523034133928572</v>
      </c>
      <c r="N11" s="407">
        <f t="shared" ref="N11:N14" si="6">H11/F11</f>
        <v>7.2108843537414966E-2</v>
      </c>
      <c r="O11" s="408">
        <f t="shared" ref="O11:O14" si="7">I11/G11</f>
        <v>7.3490813648293962E-2</v>
      </c>
      <c r="P11" s="377">
        <v>8.5999999999999993E-2</v>
      </c>
      <c r="Q11" s="377">
        <v>0.09</v>
      </c>
      <c r="R11" s="80">
        <f>IFERROR(P11/C11,"NA")</f>
        <v>2.0070011668611432E-2</v>
      </c>
    </row>
    <row r="12" spans="2:18">
      <c r="B12" s="41" t="s">
        <v>319</v>
      </c>
      <c r="C12" s="371">
        <v>12.811999999999999</v>
      </c>
      <c r="D12" s="372">
        <v>17155.244999999999</v>
      </c>
      <c r="E12" s="378">
        <f t="shared" ref="E12:E14" si="8">C12*D12</f>
        <v>219792.99893999999</v>
      </c>
      <c r="F12" s="374">
        <v>205000</v>
      </c>
      <c r="G12" s="374">
        <v>213000</v>
      </c>
      <c r="H12" s="374">
        <v>22700</v>
      </c>
      <c r="I12" s="374">
        <v>23500</v>
      </c>
      <c r="J12" s="379">
        <f t="shared" si="2"/>
        <v>1.0721609704390243</v>
      </c>
      <c r="K12" s="330">
        <f t="shared" si="3"/>
        <v>1.0318920138028169</v>
      </c>
      <c r="L12" s="330">
        <f t="shared" si="4"/>
        <v>9.682510966519823</v>
      </c>
      <c r="M12" s="330">
        <f t="shared" si="5"/>
        <v>9.352893571914894</v>
      </c>
      <c r="N12" s="407">
        <f t="shared" si="6"/>
        <v>0.11073170731707317</v>
      </c>
      <c r="O12" s="408">
        <f t="shared" si="7"/>
        <v>0.11032863849765258</v>
      </c>
      <c r="P12" s="377">
        <v>0.75</v>
      </c>
      <c r="Q12" s="377">
        <v>0.7</v>
      </c>
      <c r="R12" s="80">
        <f>IFERROR(P12/C12,"NA")</f>
        <v>5.853886980955355E-2</v>
      </c>
    </row>
    <row r="13" spans="2:18">
      <c r="B13" s="41" t="s">
        <v>320</v>
      </c>
      <c r="C13" s="371">
        <v>5.6950000000000003</v>
      </c>
      <c r="D13" s="372">
        <v>353.29</v>
      </c>
      <c r="E13" s="378">
        <f t="shared" si="8"/>
        <v>2011.9865500000003</v>
      </c>
      <c r="F13" s="374">
        <v>2050</v>
      </c>
      <c r="G13" s="374">
        <v>2180</v>
      </c>
      <c r="H13" s="374">
        <v>430</v>
      </c>
      <c r="I13" s="374">
        <v>420</v>
      </c>
      <c r="J13" s="379">
        <f t="shared" si="2"/>
        <v>0.98145685365853674</v>
      </c>
      <c r="K13" s="330">
        <f t="shared" si="3"/>
        <v>0.92292961009174324</v>
      </c>
      <c r="L13" s="330">
        <f t="shared" si="4"/>
        <v>4.6790384883720941</v>
      </c>
      <c r="M13" s="330">
        <f t="shared" si="5"/>
        <v>4.7904441666666671</v>
      </c>
      <c r="N13" s="407">
        <f t="shared" si="6"/>
        <v>0.2097560975609756</v>
      </c>
      <c r="O13" s="408">
        <f t="shared" si="7"/>
        <v>0.19266055045871561</v>
      </c>
      <c r="P13" s="377">
        <v>0.11</v>
      </c>
      <c r="Q13" s="377">
        <v>0.1</v>
      </c>
      <c r="R13" s="80">
        <f>IFERROR(P13/C13,"NA")</f>
        <v>1.9315188762071993E-2</v>
      </c>
    </row>
    <row r="14" spans="2:18">
      <c r="B14" s="41" t="s">
        <v>321</v>
      </c>
      <c r="C14" s="371">
        <v>17.07</v>
      </c>
      <c r="D14" s="372">
        <v>2253.7600000000002</v>
      </c>
      <c r="E14" s="380">
        <f t="shared" si="8"/>
        <v>38471.683200000007</v>
      </c>
      <c r="F14" s="374">
        <v>54800</v>
      </c>
      <c r="G14" s="374">
        <v>57300</v>
      </c>
      <c r="H14" s="374">
        <v>5700</v>
      </c>
      <c r="I14" s="374">
        <v>6000</v>
      </c>
      <c r="J14" s="381">
        <f t="shared" si="2"/>
        <v>0.70203801459854032</v>
      </c>
      <c r="K14" s="382">
        <f t="shared" si="3"/>
        <v>0.67140808376963368</v>
      </c>
      <c r="L14" s="382">
        <f t="shared" si="4"/>
        <v>6.7494181052631594</v>
      </c>
      <c r="M14" s="382">
        <f t="shared" si="5"/>
        <v>6.4119472000000011</v>
      </c>
      <c r="N14" s="409">
        <f t="shared" si="6"/>
        <v>0.10401459854014598</v>
      </c>
      <c r="O14" s="410">
        <f t="shared" si="7"/>
        <v>0.10471204188481675</v>
      </c>
      <c r="P14" s="377">
        <v>0.65</v>
      </c>
      <c r="Q14" s="377">
        <v>0.68</v>
      </c>
      <c r="R14" s="80">
        <f>IFERROR(P14/C14,"NA")</f>
        <v>3.8078500292911543E-2</v>
      </c>
    </row>
    <row r="15" spans="2:18"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</row>
    <row r="16" spans="2:18">
      <c r="B16" s="383" t="s">
        <v>322</v>
      </c>
      <c r="C16" s="384"/>
      <c r="D16" s="384"/>
      <c r="E16" s="384"/>
      <c r="F16" s="384"/>
      <c r="G16" s="384"/>
      <c r="H16" s="384"/>
      <c r="I16" s="384"/>
      <c r="J16" s="385">
        <f>AVERAGE(J10:J14)</f>
        <v>0.9801009629326064</v>
      </c>
      <c r="K16" s="386">
        <f t="shared" ref="K16:O16" si="9">AVERAGE(K10:K14)</f>
        <v>0.93619206369712893</v>
      </c>
      <c r="L16" s="386">
        <f t="shared" si="9"/>
        <v>8.1699733180344456</v>
      </c>
      <c r="M16" s="386">
        <f t="shared" si="9"/>
        <v>8.0749272654824189</v>
      </c>
      <c r="N16" s="387">
        <f t="shared" si="9"/>
        <v>0.13048372247894063</v>
      </c>
      <c r="O16" s="388">
        <f t="shared" si="9"/>
        <v>0.12380597646546335</v>
      </c>
      <c r="P16" s="189"/>
      <c r="Q16" s="189"/>
      <c r="R16" s="78">
        <f>IFERROR(AVERAGE(R$10:R$14),"NA")</f>
        <v>3.8307885362099239E-2</v>
      </c>
    </row>
    <row r="17" spans="2:18">
      <c r="B17" s="383" t="s">
        <v>323</v>
      </c>
      <c r="C17" s="384" t="s">
        <v>345</v>
      </c>
      <c r="D17" s="384"/>
      <c r="E17" s="384"/>
      <c r="F17" s="384"/>
      <c r="G17" s="384"/>
      <c r="H17" s="384"/>
      <c r="I17" s="384"/>
      <c r="J17" s="389">
        <f>MEDIAN(J10:J14)</f>
        <v>0.98145685365853674</v>
      </c>
      <c r="K17" s="390">
        <f t="shared" ref="K17:O17" si="10">MEDIAN(K10:K14)</f>
        <v>0.92292961009174324</v>
      </c>
      <c r="L17" s="390">
        <f t="shared" si="10"/>
        <v>8.6202214545454545</v>
      </c>
      <c r="M17" s="390">
        <f t="shared" si="10"/>
        <v>9.296317254901961</v>
      </c>
      <c r="N17" s="391">
        <f t="shared" si="10"/>
        <v>0.11073170731707317</v>
      </c>
      <c r="O17" s="392">
        <f t="shared" si="10"/>
        <v>0.11032863849765258</v>
      </c>
      <c r="P17" s="189"/>
      <c r="Q17" s="189"/>
      <c r="R17" s="78">
        <f>IFERROR(MEDIAN(R$10:R$14),"NA")</f>
        <v>3.8078500292911543E-2</v>
      </c>
    </row>
    <row r="18" spans="2:18">
      <c r="B18" s="39" t="s">
        <v>327</v>
      </c>
      <c r="C18" s="384"/>
      <c r="D18" s="384"/>
      <c r="E18" s="384"/>
      <c r="F18" s="384"/>
      <c r="G18" s="384"/>
      <c r="H18" s="384"/>
      <c r="I18" s="384"/>
      <c r="J18" s="389">
        <f>HARMEAN(J10:J14)</f>
        <v>0.93147563697432234</v>
      </c>
      <c r="K18" s="390">
        <f t="shared" ref="K18:O18" si="11">HARMEAN(K10:K14)</f>
        <v>0.89039349236443333</v>
      </c>
      <c r="L18" s="390">
        <f t="shared" si="11"/>
        <v>7.4504090520059343</v>
      </c>
      <c r="M18" s="390">
        <f t="shared" si="11"/>
        <v>7.4159147016207632</v>
      </c>
      <c r="N18" s="391">
        <f t="shared" si="11"/>
        <v>0.11442061213608724</v>
      </c>
      <c r="O18" s="392">
        <f t="shared" si="11"/>
        <v>0.11194109012568706</v>
      </c>
      <c r="P18" s="189"/>
      <c r="Q18" s="189"/>
      <c r="R18" s="78">
        <f>IFERROR(HARMEAN(R$10:R$14),"NA")</f>
        <v>3.0684527424304619E-2</v>
      </c>
    </row>
    <row r="19" spans="2:18">
      <c r="B19" s="383" t="s">
        <v>325</v>
      </c>
      <c r="C19" s="384" t="s">
        <v>346</v>
      </c>
      <c r="D19" s="384"/>
      <c r="E19" s="384"/>
      <c r="F19" s="384"/>
      <c r="G19" s="384"/>
      <c r="H19" s="384"/>
      <c r="I19" s="384"/>
      <c r="J19" s="389">
        <f>_xlfn.QUARTILE.INC(J10:J14,3)</f>
        <v>1.0721609704390243</v>
      </c>
      <c r="K19" s="390">
        <f t="shared" ref="K19:O19" si="12">_xlfn.QUARTILE.INC(K10:K14,3)</f>
        <v>1.0318920138028169</v>
      </c>
      <c r="L19" s="390">
        <f t="shared" si="12"/>
        <v>9.682510966519823</v>
      </c>
      <c r="M19" s="390">
        <f t="shared" si="12"/>
        <v>9.352893571914894</v>
      </c>
      <c r="N19" s="391">
        <f t="shared" si="12"/>
        <v>0.15580736543909349</v>
      </c>
      <c r="O19" s="392">
        <f t="shared" si="12"/>
        <v>0.13783783783783785</v>
      </c>
      <c r="P19" s="189"/>
      <c r="Q19" s="189"/>
      <c r="R19" s="78">
        <f>IFERROR(_xlfn.QUARTILE.INC(R$10:R$14,3),"NA")</f>
        <v>5.5536856277347696E-2</v>
      </c>
    </row>
    <row r="20" spans="2:18">
      <c r="B20" s="383" t="s">
        <v>326</v>
      </c>
      <c r="C20" s="384" t="s">
        <v>347</v>
      </c>
      <c r="D20" s="81"/>
      <c r="E20" s="81"/>
      <c r="F20" s="81"/>
      <c r="G20" s="81"/>
      <c r="H20" s="81"/>
      <c r="I20" s="81"/>
      <c r="J20" s="411">
        <f>_xlfn.QUARTILE.INC(J10:J14,1)</f>
        <v>0.80175498163265313</v>
      </c>
      <c r="K20" s="412">
        <f t="shared" ref="K20:O20" si="13">_xlfn.QUARTILE.INC(K10:K14,1)</f>
        <v>0.77334634055118112</v>
      </c>
      <c r="L20" s="412">
        <f t="shared" si="13"/>
        <v>6.7494181052631594</v>
      </c>
      <c r="M20" s="412">
        <f t="shared" si="13"/>
        <v>6.4119472000000011</v>
      </c>
      <c r="N20" s="413">
        <f t="shared" si="13"/>
        <v>0.10401459854014598</v>
      </c>
      <c r="O20" s="414">
        <f t="shared" si="13"/>
        <v>0.10471204188481675</v>
      </c>
      <c r="R20" s="415">
        <f>IFERROR(_xlfn.QUARTILE.INC(R$10:R$14,1),"NA")</f>
        <v>2.0070011668611432E-2</v>
      </c>
    </row>
    <row r="22" spans="2:18">
      <c r="B22" s="28" t="s">
        <v>344</v>
      </c>
      <c r="C22" s="436" t="s">
        <v>348</v>
      </c>
    </row>
    <row r="24" spans="2:18">
      <c r="B24" s="393" t="s">
        <v>324</v>
      </c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</row>
    <row r="25" spans="2:18">
      <c r="B25" s="394" t="str">
        <f>$J$7&amp;"A P/TBV"</f>
        <v>2025A P/TBV</v>
      </c>
      <c r="C25" s="395">
        <f>E25/D25</f>
        <v>0.55219960713670957</v>
      </c>
      <c r="D25" s="396">
        <f>'Inputs &amp; Assumptions'!H31</f>
        <v>58799</v>
      </c>
      <c r="E25" s="236">
        <f>F25*J25</f>
        <v>32468.784700031385</v>
      </c>
      <c r="F25" s="397">
        <f>'Financial Model'!H128</f>
        <v>33128</v>
      </c>
      <c r="G25" s="81"/>
      <c r="H25" s="81"/>
      <c r="I25" s="81"/>
      <c r="J25" s="398">
        <f>CHOOSE(MATCH($C$22,{"Low";"Base";"High"},0),J$20,J$16,J$19)</f>
        <v>0.9801009629326064</v>
      </c>
      <c r="K25" s="81"/>
      <c r="L25" s="81"/>
      <c r="M25" s="81"/>
      <c r="N25" s="81"/>
      <c r="O25" s="81"/>
    </row>
    <row r="26" spans="2:18">
      <c r="B26" s="394" t="str">
        <f>$K$7&amp;"F P/TBV"</f>
        <v>2026F P/TBV</v>
      </c>
      <c r="C26" s="399">
        <f t="shared" ref="C26:C28" si="14">E26/D26</f>
        <v>0.53956713305783421</v>
      </c>
      <c r="D26" s="400">
        <f>D25</f>
        <v>58799</v>
      </c>
      <c r="E26" s="236">
        <f>G26*K26</f>
        <v>31726.007856667591</v>
      </c>
      <c r="F26" s="401"/>
      <c r="G26" s="397">
        <f>'Financial Model'!I128</f>
        <v>33888.353775803203</v>
      </c>
      <c r="H26" s="401"/>
      <c r="I26" s="401"/>
      <c r="J26" s="81"/>
      <c r="K26" s="398">
        <f>CHOOSE(MATCH($C$22,{"Low";"Base";"High"},0),K$20,K$16,K$19)</f>
        <v>0.93619206369712893</v>
      </c>
      <c r="L26" s="81"/>
      <c r="M26" s="81"/>
      <c r="N26" s="81"/>
      <c r="O26" s="81"/>
    </row>
    <row r="27" spans="2:18">
      <c r="B27" s="394" t="str">
        <f>$L$7&amp;"A P/E"</f>
        <v>2025A P/E</v>
      </c>
      <c r="C27" s="399">
        <f t="shared" si="14"/>
        <v>0.66097319807972676</v>
      </c>
      <c r="D27" s="400">
        <f t="shared" ref="D27:D28" si="15">D26</f>
        <v>58799</v>
      </c>
      <c r="E27" s="236">
        <f>H27*L27</f>
        <v>38864.563073889854</v>
      </c>
      <c r="F27" s="81"/>
      <c r="G27" s="81"/>
      <c r="H27" s="397">
        <f>'Financial Model'!H75</f>
        <v>4757</v>
      </c>
      <c r="I27" s="81"/>
      <c r="J27" s="81"/>
      <c r="K27" s="81"/>
      <c r="L27" s="398">
        <f>CHOOSE(MATCH($C$22,{"Low";"Base";"High"},0),L$20,L$16,L$19)</f>
        <v>8.1699733180344456</v>
      </c>
      <c r="M27" s="81"/>
      <c r="N27" s="81"/>
      <c r="O27" s="81"/>
    </row>
    <row r="28" spans="2:18">
      <c r="B28" s="394" t="str">
        <f>$M$7&amp;"F P/E"</f>
        <v>2026F P/E</v>
      </c>
      <c r="C28" s="402">
        <f t="shared" si="14"/>
        <v>0.73000231371015278</v>
      </c>
      <c r="D28" s="400">
        <f t="shared" si="15"/>
        <v>58799</v>
      </c>
      <c r="E28" s="236">
        <f>I28*M28</f>
        <v>42923.406043843272</v>
      </c>
      <c r="F28" s="81"/>
      <c r="G28" s="81"/>
      <c r="H28" s="401"/>
      <c r="I28" s="397">
        <f>'Financial Model'!I75</f>
        <v>5315.6399596719966</v>
      </c>
      <c r="J28" s="81"/>
      <c r="K28" s="81"/>
      <c r="L28" s="81"/>
      <c r="M28" s="398">
        <f>CHOOSE(MATCH($C$22,{"Low";"Base";"High"},0),M$20,M$16,M$19)</f>
        <v>8.0749272654824189</v>
      </c>
      <c r="N28" s="81"/>
      <c r="O28" s="81"/>
    </row>
    <row r="29" spans="2:18" s="429" customFormat="1" ht="16.5" customHeight="1"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</row>
    <row r="31" spans="2:18" ht="18.75">
      <c r="B31" s="31" t="s">
        <v>334</v>
      </c>
      <c r="C31" s="427"/>
      <c r="D31" s="427"/>
      <c r="E31" s="427"/>
      <c r="F31" s="427"/>
      <c r="G31" s="428"/>
      <c r="H31" s="428"/>
      <c r="I31" s="427"/>
      <c r="J31" s="427"/>
      <c r="K31" s="428"/>
      <c r="L31" s="428"/>
      <c r="M31" s="428"/>
      <c r="N31" s="427"/>
      <c r="O31" s="427"/>
      <c r="P31" s="428"/>
      <c r="Q31" s="428"/>
      <c r="R31" s="428"/>
    </row>
    <row r="32" spans="2:18">
      <c r="I32" s="167"/>
      <c r="J32" s="167"/>
      <c r="K32" s="167"/>
      <c r="L32" s="167"/>
    </row>
    <row r="33" spans="2:12">
      <c r="B33" s="297" t="s">
        <v>10</v>
      </c>
      <c r="I33" s="167"/>
      <c r="J33" s="167"/>
      <c r="K33" s="167"/>
      <c r="L33" s="167"/>
    </row>
    <row r="35" spans="2:12">
      <c r="F35" s="433" t="s">
        <v>299</v>
      </c>
      <c r="G35" s="433"/>
    </row>
    <row r="36" spans="2:12">
      <c r="C36" s="361" t="s">
        <v>302</v>
      </c>
      <c r="D36" s="361" t="s">
        <v>303</v>
      </c>
      <c r="E36" s="361" t="s">
        <v>304</v>
      </c>
      <c r="F36" s="434" t="s">
        <v>262</v>
      </c>
      <c r="G36" s="186"/>
      <c r="H36" s="435" t="s">
        <v>305</v>
      </c>
      <c r="I36" s="186"/>
      <c r="J36" s="435" t="s">
        <v>307</v>
      </c>
      <c r="K36" s="186"/>
    </row>
    <row r="37" spans="2:12">
      <c r="B37" s="365" t="s">
        <v>310</v>
      </c>
      <c r="C37" s="366" t="s">
        <v>311</v>
      </c>
      <c r="D37" s="366" t="s">
        <v>312</v>
      </c>
      <c r="E37" s="366" t="s">
        <v>313</v>
      </c>
      <c r="F37" s="367">
        <f>F7</f>
        <v>2025</v>
      </c>
      <c r="G37" s="368">
        <f>G7</f>
        <v>2026</v>
      </c>
      <c r="H37" s="367">
        <f>J7</f>
        <v>2025</v>
      </c>
      <c r="I37" s="368">
        <f>K7</f>
        <v>2026</v>
      </c>
      <c r="J37" s="367">
        <f>N7</f>
        <v>2025</v>
      </c>
      <c r="K37" s="368">
        <f>O7</f>
        <v>2026</v>
      </c>
    </row>
    <row r="38" spans="2:12">
      <c r="B38" s="369"/>
      <c r="C38" s="403" t="s">
        <v>328</v>
      </c>
      <c r="D38" s="403" t="s">
        <v>315</v>
      </c>
      <c r="E38" s="370"/>
      <c r="H38" s="404" t="s">
        <v>316</v>
      </c>
      <c r="I38" s="404" t="s">
        <v>316</v>
      </c>
    </row>
    <row r="40" spans="2:12">
      <c r="B40" s="81" t="s">
        <v>317</v>
      </c>
      <c r="C40" s="371">
        <v>5.9420000000000002</v>
      </c>
      <c r="D40" s="232">
        <v>7979</v>
      </c>
      <c r="E40" s="170">
        <f>C40*D40</f>
        <v>47411.218000000001</v>
      </c>
      <c r="F40" s="232">
        <v>35300</v>
      </c>
      <c r="G40" s="232">
        <v>37000</v>
      </c>
      <c r="H40" s="398">
        <f>C40*D40/F40</f>
        <v>1.3430939943342777</v>
      </c>
      <c r="I40" s="398">
        <f>C40*D40/G40</f>
        <v>1.2813842702702702</v>
      </c>
      <c r="J40" s="416">
        <f t="shared" ref="J40:K42" si="16">N10</f>
        <v>0.15580736543909349</v>
      </c>
      <c r="K40" s="416">
        <f t="shared" si="16"/>
        <v>0.13783783783783785</v>
      </c>
    </row>
    <row r="41" spans="2:12">
      <c r="B41" s="81" t="s">
        <v>318</v>
      </c>
      <c r="C41" s="371">
        <v>4.2850000000000001</v>
      </c>
      <c r="D41" s="232">
        <v>13752.39</v>
      </c>
      <c r="E41" s="170">
        <f t="shared" ref="E41:E43" si="17">C41*D41</f>
        <v>58928.991150000002</v>
      </c>
      <c r="F41" s="232">
        <v>73500</v>
      </c>
      <c r="G41" s="232">
        <v>76200</v>
      </c>
      <c r="H41" s="398">
        <f t="shared" ref="H41:H43" si="18">C41*D41/F41</f>
        <v>0.80175498163265313</v>
      </c>
      <c r="I41" s="398">
        <f t="shared" ref="I41:I43" si="19">C41*D41/G41</f>
        <v>0.77334634055118112</v>
      </c>
      <c r="J41" s="416">
        <f t="shared" si="16"/>
        <v>7.2108843537414966E-2</v>
      </c>
      <c r="K41" s="416">
        <f t="shared" si="16"/>
        <v>7.3490813648293962E-2</v>
      </c>
    </row>
    <row r="42" spans="2:12">
      <c r="B42" s="81" t="s">
        <v>319</v>
      </c>
      <c r="C42" s="371">
        <v>12.811999999999999</v>
      </c>
      <c r="D42" s="232">
        <v>17155.244999999999</v>
      </c>
      <c r="E42" s="170">
        <f t="shared" si="17"/>
        <v>219792.99893999999</v>
      </c>
      <c r="F42" s="232">
        <v>205000</v>
      </c>
      <c r="G42" s="232">
        <v>213000</v>
      </c>
      <c r="H42" s="398">
        <f t="shared" si="18"/>
        <v>1.0721609704390243</v>
      </c>
      <c r="I42" s="398">
        <f t="shared" si="19"/>
        <v>1.0318920138028169</v>
      </c>
      <c r="J42" s="416">
        <f t="shared" si="16"/>
        <v>0.11073170731707317</v>
      </c>
      <c r="K42" s="416">
        <f t="shared" si="16"/>
        <v>0.11032863849765258</v>
      </c>
    </row>
    <row r="43" spans="2:12">
      <c r="B43" s="81" t="s">
        <v>321</v>
      </c>
      <c r="C43" s="371">
        <v>17.07</v>
      </c>
      <c r="D43" s="232">
        <v>2253.7600000000002</v>
      </c>
      <c r="E43" s="170">
        <f t="shared" si="17"/>
        <v>38471.683200000007</v>
      </c>
      <c r="F43" s="232">
        <v>54800</v>
      </c>
      <c r="G43" s="232">
        <v>57300</v>
      </c>
      <c r="H43" s="398">
        <f t="shared" si="18"/>
        <v>0.70203801459854032</v>
      </c>
      <c r="I43" s="398">
        <f t="shared" si="19"/>
        <v>0.67140808376963368</v>
      </c>
      <c r="J43" s="416">
        <f>N14</f>
        <v>0.10401459854014598</v>
      </c>
      <c r="K43" s="416">
        <f>O14</f>
        <v>0.10471204188481675</v>
      </c>
    </row>
    <row r="44" spans="2:12">
      <c r="B44" s="422" t="s">
        <v>333</v>
      </c>
      <c r="C44" s="81"/>
      <c r="D44" s="81"/>
      <c r="E44" s="81"/>
      <c r="F44" s="81"/>
      <c r="G44" s="81"/>
      <c r="H44" s="81"/>
      <c r="I44" s="81"/>
      <c r="J44" s="81"/>
      <c r="K44" s="81"/>
    </row>
    <row r="46" spans="2:12">
      <c r="B46" s="417" t="s">
        <v>198</v>
      </c>
      <c r="C46" s="81"/>
      <c r="D46" s="81"/>
      <c r="E46" s="81"/>
      <c r="F46" s="81"/>
      <c r="G46" s="81"/>
      <c r="H46" s="236">
        <f>SLOPE(H40:H43,J40:J43)</f>
        <v>7.0385505889270554</v>
      </c>
      <c r="I46" s="236">
        <f>SLOPE(I40:I43,K40:K43)</f>
        <v>8.1510800024953269</v>
      </c>
      <c r="J46" s="81"/>
      <c r="K46" s="81"/>
    </row>
    <row r="47" spans="2:12">
      <c r="B47" s="417" t="s">
        <v>329</v>
      </c>
      <c r="C47" s="81"/>
      <c r="D47" s="81"/>
      <c r="E47" s="81"/>
      <c r="F47" s="81"/>
      <c r="G47" s="81"/>
      <c r="H47" s="236">
        <f>INTERCEPT(H40:H43,J40:J43)</f>
        <v>0.20083636413140771</v>
      </c>
      <c r="I47" s="401">
        <f>INTERCEPT(I40:I43,K40:K43)</f>
        <v>7.0665043430613306E-2</v>
      </c>
      <c r="J47" s="81"/>
      <c r="K47" s="81"/>
    </row>
    <row r="48" spans="2:12">
      <c r="B48" s="417" t="s">
        <v>330</v>
      </c>
      <c r="C48" s="81"/>
      <c r="D48" s="81"/>
      <c r="E48" s="81"/>
      <c r="F48" s="81"/>
      <c r="G48" s="81"/>
      <c r="H48" s="236">
        <f>RSQ(H40:H43,J40:J43)</f>
        <v>0.70898060171639943</v>
      </c>
      <c r="I48" s="236">
        <f>RSQ(I40:I43,K40:K43)</f>
        <v>0.61727381698403738</v>
      </c>
      <c r="J48" s="81"/>
      <c r="K48" s="81"/>
    </row>
    <row r="49" spans="2:18">
      <c r="B49" s="81"/>
      <c r="C49" s="81"/>
      <c r="D49" s="81"/>
      <c r="E49" s="81"/>
      <c r="F49" s="81"/>
      <c r="G49" s="81"/>
      <c r="H49" s="81"/>
      <c r="I49" s="81"/>
      <c r="J49" s="81"/>
      <c r="K49" s="81"/>
    </row>
    <row r="50" spans="2:18">
      <c r="B50" s="418" t="s">
        <v>331</v>
      </c>
      <c r="C50" s="81"/>
      <c r="D50" s="81"/>
      <c r="E50" s="81"/>
      <c r="F50" s="81"/>
      <c r="G50" s="81"/>
      <c r="H50" s="419" t="s">
        <v>332</v>
      </c>
      <c r="I50" s="81"/>
      <c r="J50" s="81"/>
      <c r="K50" s="81"/>
    </row>
    <row r="51" spans="2:18">
      <c r="B51" s="417" t="str">
        <f>$H$37&amp;"A P/TBV"</f>
        <v>2025A P/TBV</v>
      </c>
      <c r="C51" s="328">
        <f>E51/D51</f>
        <v>0.6052837967752408</v>
      </c>
      <c r="D51" s="400">
        <f>D25</f>
        <v>58799</v>
      </c>
      <c r="E51" s="236">
        <f>F51*H51</f>
        <v>35590.081966587386</v>
      </c>
      <c r="F51" s="401">
        <f>F25</f>
        <v>33128</v>
      </c>
      <c r="G51" s="194"/>
      <c r="H51" s="420">
        <f>J51*H46+H47</f>
        <v>1.0743202718723552</v>
      </c>
      <c r="I51" s="81"/>
      <c r="J51" s="421">
        <f>'Financial Model'!H143</f>
        <v>0.12409996869456329</v>
      </c>
      <c r="K51" s="81"/>
    </row>
    <row r="52" spans="2:18">
      <c r="B52" s="417" t="str">
        <f>$I$37&amp;"F P/TBV"</f>
        <v>2026F P/TBV</v>
      </c>
      <c r="C52" s="328">
        <f>E52/D52</f>
        <v>0.65658920857184566</v>
      </c>
      <c r="D52" s="400">
        <f>D25</f>
        <v>58799</v>
      </c>
      <c r="E52" s="236">
        <f>G52*I52</f>
        <v>38606.788874815953</v>
      </c>
      <c r="F52" s="81"/>
      <c r="G52" s="401">
        <f>G26</f>
        <v>33888.353775803203</v>
      </c>
      <c r="H52" s="81"/>
      <c r="I52" s="420">
        <f>K52*I46+I47</f>
        <v>1.1392347096654127</v>
      </c>
      <c r="J52" s="81"/>
      <c r="K52" s="421">
        <f>'Financial Model'!I143</f>
        <v>0.13109547028218019</v>
      </c>
    </row>
    <row r="53" spans="2:18" ht="16.5" customHeight="1"/>
    <row r="55" spans="2:18" ht="18.75">
      <c r="B55" s="31" t="s">
        <v>268</v>
      </c>
      <c r="C55" s="32"/>
      <c r="D55" s="32"/>
      <c r="E55" s="32"/>
      <c r="F55" s="32"/>
      <c r="G55" s="33"/>
      <c r="H55" s="33"/>
      <c r="I55" s="34"/>
      <c r="J55" s="34"/>
      <c r="K55" s="34"/>
      <c r="L55" s="34"/>
      <c r="M55" s="34"/>
      <c r="N55" s="34"/>
      <c r="O55" s="34"/>
      <c r="P55" s="34"/>
      <c r="Q55" s="34"/>
      <c r="R55" s="34"/>
    </row>
    <row r="56" spans="2:18" ht="12.75" customHeight="1"/>
    <row r="58" spans="2:18" ht="12.75" customHeight="1">
      <c r="D58" s="490" t="s">
        <v>307</v>
      </c>
      <c r="E58" s="490"/>
      <c r="F58" s="490"/>
      <c r="G58" s="490"/>
      <c r="H58" s="490"/>
    </row>
    <row r="59" spans="2:18">
      <c r="C59" s="285">
        <f>C52</f>
        <v>0.65658920857184566</v>
      </c>
      <c r="D59" s="286">
        <f t="shared" ref="D59" si="20">+E59-0.01</f>
        <v>0.11100000000000002</v>
      </c>
      <c r="E59" s="286">
        <f>+F59-0.01</f>
        <v>0.12100000000000001</v>
      </c>
      <c r="F59" s="295">
        <v>0.13100000000000001</v>
      </c>
      <c r="G59" s="286">
        <f>+F59+0.01</f>
        <v>0.14100000000000001</v>
      </c>
      <c r="H59" s="286">
        <f t="shared" ref="H59" si="21">+G59+0.01</f>
        <v>0.15100000000000002</v>
      </c>
    </row>
    <row r="60" spans="2:18" ht="15" customHeight="1">
      <c r="B60" s="492" t="s">
        <v>340</v>
      </c>
      <c r="C60" s="425">
        <f t="shared" ref="C60" si="22">+C61-0.1</f>
        <v>0.93999999999999984</v>
      </c>
      <c r="D60" s="292">
        <f t="dataTable" ref="D60:H64" dt2D="1" dtr="1" r1="K52" r2="I52"/>
        <v>0.54176180801127582</v>
      </c>
      <c r="E60" s="293">
        <v>0.54176180801127582</v>
      </c>
      <c r="F60" s="293">
        <v>0.54176180801127582</v>
      </c>
      <c r="G60" s="293">
        <v>0.54176180801127582</v>
      </c>
      <c r="H60" s="293">
        <v>0.54176180801127582</v>
      </c>
    </row>
    <row r="61" spans="2:18">
      <c r="B61" s="492"/>
      <c r="C61" s="425">
        <f>+C62-0.1</f>
        <v>1.0399999999999998</v>
      </c>
      <c r="D61" s="293">
        <v>0.59939604290609239</v>
      </c>
      <c r="E61" s="293">
        <v>0.59939604290609239</v>
      </c>
      <c r="F61" s="293">
        <v>0.59939604290609239</v>
      </c>
      <c r="G61" s="293">
        <v>0.59939604290609239</v>
      </c>
      <c r="H61" s="293">
        <v>0.59939604290609239</v>
      </c>
    </row>
    <row r="62" spans="2:18">
      <c r="B62" s="492"/>
      <c r="C62" s="426">
        <v>1.1399999999999999</v>
      </c>
      <c r="D62" s="293">
        <v>0.65703027780090895</v>
      </c>
      <c r="E62" s="293">
        <v>0.65703027780090895</v>
      </c>
      <c r="F62" s="294">
        <v>0.65703027780090895</v>
      </c>
      <c r="G62" s="293">
        <v>0.65703027780090895</v>
      </c>
      <c r="H62" s="293">
        <v>0.65703027780090895</v>
      </c>
    </row>
    <row r="63" spans="2:18">
      <c r="B63" s="492"/>
      <c r="C63" s="425">
        <f>+C62+0.1</f>
        <v>1.24</v>
      </c>
      <c r="D63" s="293">
        <v>0.71466451269572562</v>
      </c>
      <c r="E63" s="293">
        <v>0.71466451269572562</v>
      </c>
      <c r="F63" s="293">
        <v>0.71466451269572562</v>
      </c>
      <c r="G63" s="293">
        <v>0.71466451269572562</v>
      </c>
      <c r="H63" s="293">
        <v>0.71466451269572562</v>
      </c>
    </row>
    <row r="64" spans="2:18" ht="12.75" customHeight="1">
      <c r="B64" s="492"/>
      <c r="C64" s="425">
        <f t="shared" ref="C64" si="23">+C63+0.1</f>
        <v>1.34</v>
      </c>
      <c r="D64" s="293">
        <v>0.77229874759054229</v>
      </c>
      <c r="E64" s="293">
        <v>0.77229874759054229</v>
      </c>
      <c r="F64" s="293">
        <v>0.77229874759054229</v>
      </c>
      <c r="G64" s="293">
        <v>0.77229874759054229</v>
      </c>
      <c r="H64" s="293">
        <v>0.77229874759054229</v>
      </c>
    </row>
  </sheetData>
  <mergeCells count="2">
    <mergeCell ref="B60:B64"/>
    <mergeCell ref="D58:H58"/>
  </mergeCells>
  <dataValidations count="1">
    <dataValidation type="list" allowBlank="1" showInputMessage="1" showErrorMessage="1" sqref="C22" xr:uid="{8D932B15-7390-4261-99B7-3BBE8E82F158}">
      <formula1>"Low, Base, High"</formula1>
    </dataValidation>
  </dataValidations>
  <pageMargins left="0.7" right="0.7" top="0.75" bottom="0.75" header="0.3" footer="0.3"/>
  <ignoredErrors>
    <ignoredError sqref="E51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051AE-5236-4B46-91F6-485DF47D931B}">
  <dimension ref="B2:O49"/>
  <sheetViews>
    <sheetView showGridLines="0" zoomScale="85" zoomScaleNormal="85" workbookViewId="0">
      <selection activeCell="T37" sqref="T37"/>
    </sheetView>
  </sheetViews>
  <sheetFormatPr defaultRowHeight="12.75"/>
  <cols>
    <col min="1" max="3" width="9.140625" style="41"/>
    <col min="4" max="4" width="21" style="41" customWidth="1"/>
    <col min="5" max="5" width="13.7109375" style="41" bestFit="1" customWidth="1"/>
    <col min="6" max="16384" width="9.140625" style="41"/>
  </cols>
  <sheetData>
    <row r="2" spans="2:15" ht="18.75">
      <c r="B2" s="31" t="s">
        <v>4</v>
      </c>
      <c r="C2" s="32"/>
      <c r="D2" s="32"/>
      <c r="E2" s="32"/>
      <c r="F2" s="32"/>
      <c r="G2" s="33"/>
      <c r="H2" s="33"/>
      <c r="I2" s="32"/>
      <c r="J2" s="32"/>
      <c r="K2" s="33"/>
      <c r="L2" s="33"/>
      <c r="M2" s="33"/>
      <c r="N2" s="33"/>
      <c r="O2" s="33"/>
    </row>
    <row r="41" spans="4:9">
      <c r="D41" s="219" t="s">
        <v>341</v>
      </c>
      <c r="E41" s="431" t="s">
        <v>291</v>
      </c>
      <c r="F41" s="431" t="s">
        <v>335</v>
      </c>
      <c r="G41" s="431" t="s">
        <v>293</v>
      </c>
      <c r="H41" s="431" t="s">
        <v>343</v>
      </c>
      <c r="I41" s="431" t="s">
        <v>342</v>
      </c>
    </row>
    <row r="42" spans="4:9">
      <c r="D42" s="41" t="s">
        <v>337</v>
      </c>
      <c r="E42" s="423">
        <f>'Valuation – DDM'!D135</f>
        <v>0.71805240968403572</v>
      </c>
      <c r="F42" s="293">
        <f>G42-E42</f>
        <v>0.40668808259421807</v>
      </c>
      <c r="G42" s="423">
        <f>'Valuation – DDM'!H139</f>
        <v>1.1247404922782538</v>
      </c>
      <c r="H42" s="423">
        <f>'Valuation – DDM'!M88</f>
        <v>0.89308706569057894</v>
      </c>
      <c r="I42" s="91">
        <v>0.35</v>
      </c>
    </row>
    <row r="43" spans="4:9">
      <c r="D43" s="41" t="s">
        <v>338</v>
      </c>
      <c r="E43" s="423">
        <f>'Valuation – DDM'!D146</f>
        <v>0.68608514756663885</v>
      </c>
      <c r="F43" s="293">
        <f>G43-E43</f>
        <v>0.26629125852689828</v>
      </c>
      <c r="G43" s="423">
        <f>'Valuation – DDM'!H150</f>
        <v>0.95237640609353713</v>
      </c>
      <c r="H43" s="423">
        <f>'Valuation – DDM'!M126</f>
        <v>0.89250510486894452</v>
      </c>
      <c r="I43" s="91">
        <v>0.2</v>
      </c>
    </row>
    <row r="44" spans="4:9">
      <c r="D44" s="41" t="s">
        <v>223</v>
      </c>
      <c r="E44" s="423">
        <f>'Valuation – Residual  '!E86</f>
        <v>1.0084590483990779</v>
      </c>
      <c r="F44" s="293">
        <f>G44-E44</f>
        <v>0.10680207260048591</v>
      </c>
      <c r="G44" s="423">
        <f>'Valuation – Residual  '!I90</f>
        <v>1.1152611209995638</v>
      </c>
      <c r="H44" s="423">
        <f>'Valuation – Residual  '!M77</f>
        <v>1.0564300239831974</v>
      </c>
      <c r="I44" s="91">
        <v>0.2</v>
      </c>
    </row>
    <row r="45" spans="4:9">
      <c r="D45" s="41" t="s">
        <v>240</v>
      </c>
      <c r="E45" s="423">
        <f>'Net Asset Value'!K72</f>
        <v>0.65160036735318549</v>
      </c>
      <c r="F45" s="293">
        <f>G45-E45</f>
        <v>0.51302573173012977</v>
      </c>
      <c r="G45" s="423">
        <f>'Net Asset Value'!M72</f>
        <v>1.1646260990833153</v>
      </c>
      <c r="H45" s="423">
        <f>'Net Asset Value'!L72</f>
        <v>0.81407847072229123</v>
      </c>
      <c r="I45" s="91">
        <v>0.1</v>
      </c>
    </row>
    <row r="46" spans="4:9">
      <c r="D46" s="41" t="s">
        <v>336</v>
      </c>
      <c r="E46" s="309">
        <f>(Comps!K20*Comps!G26)/Comps!D26</f>
        <v>0.44571224646373597</v>
      </c>
      <c r="F46" s="293">
        <f t="shared" ref="F46:F47" si="0">G46-E46</f>
        <v>0.14901082063223259</v>
      </c>
      <c r="G46" s="309">
        <f>(Comps!K19*Comps!G26)/Comps!D26</f>
        <v>0.59472306709596856</v>
      </c>
      <c r="H46" s="423">
        <f>(Comps!K17*Comps!G26)/Comps!D26</f>
        <v>0.53192341939409016</v>
      </c>
      <c r="I46" s="91">
        <v>0.15</v>
      </c>
    </row>
    <row r="47" spans="4:9">
      <c r="D47" s="41" t="s">
        <v>334</v>
      </c>
      <c r="E47" s="423">
        <f>Comps!D60</f>
        <v>0.54176180801127582</v>
      </c>
      <c r="F47" s="293">
        <f t="shared" si="0"/>
        <v>0.23053693957926646</v>
      </c>
      <c r="G47" s="423">
        <f>Comps!H64</f>
        <v>0.77229874759054229</v>
      </c>
      <c r="H47" s="423">
        <f>Comps!C52</f>
        <v>0.65658920857184566</v>
      </c>
      <c r="I47" s="91">
        <v>0.05</v>
      </c>
    </row>
    <row r="48" spans="4:9">
      <c r="D48" s="41" t="s">
        <v>339</v>
      </c>
      <c r="E48" s="424">
        <v>0.60780000000000001</v>
      </c>
      <c r="F48" s="293">
        <f>G48-E48</f>
        <v>0.5381999999999999</v>
      </c>
      <c r="G48" s="424">
        <v>1.1459999999999999</v>
      </c>
      <c r="I48" s="91">
        <v>0</v>
      </c>
    </row>
    <row r="49" spans="4:9">
      <c r="D49" s="41" t="str">
        <f>"Target Price: "&amp;TEXT(I49,"£0.00")</f>
        <v>Target Price: £0.90</v>
      </c>
      <c r="E49" s="432"/>
      <c r="I49" s="430">
        <f>SUMPRODUCT(H42:H47,I42:I47)</f>
        <v>0.89639331917206588</v>
      </c>
    </row>
  </sheetData>
  <pageMargins left="0.7" right="0.7" top="0.75" bottom="0.75" header="0.3" footer="0.3"/>
  <ignoredErrors>
    <ignoredError sqref="I49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Summary</vt:lpstr>
      <vt:lpstr>Financial Model</vt:lpstr>
      <vt:lpstr>Inputs &amp; Assumptions</vt:lpstr>
      <vt:lpstr>Valuation – DDM</vt:lpstr>
      <vt:lpstr>Valuation – Residual  </vt:lpstr>
      <vt:lpstr>Net Asset Value</vt:lpstr>
      <vt:lpstr>Comps</vt:lpstr>
      <vt:lpstr>Valuation 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furkan panayir</dc:creator>
  <cp:lastModifiedBy>furkan panayir</cp:lastModifiedBy>
  <dcterms:created xsi:type="dcterms:W3CDTF">2015-06-05T18:17:20Z</dcterms:created>
  <dcterms:modified xsi:type="dcterms:W3CDTF">2026-04-11T15:54:58Z</dcterms:modified>
</cp:coreProperties>
</file>